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3" activeTab="6"/>
  </bookViews>
  <sheets>
    <sheet name="Top Sheet" sheetId="9" r:id="rId1"/>
    <sheet name="Summary New Year" sheetId="20" r:id="rId2"/>
    <sheet name="New Year-Full Year" sheetId="1" r:id="rId3"/>
    <sheet name="Benevolence" sheetId="31" r:id="rId4"/>
    <sheet name="Pastor" sheetId="21" r:id="rId5"/>
    <sheet name="Comparison" sheetId="32" r:id="rId6"/>
    <sheet name="Assoc. Pastor" sheetId="29" r:id="rId7"/>
    <sheet name="Band and Other Music" sheetId="22" r:id="rId8"/>
    <sheet name="Rates" sheetId="24" r:id="rId9"/>
    <sheet name="Pie Chart" sheetId="27" r:id="rId10"/>
    <sheet name="Expenses" sheetId="28" r:id="rId11"/>
  </sheets>
  <externalReferences>
    <externalReference r:id="rId12"/>
  </externalReferences>
  <definedNames>
    <definedName name="Bud_Yr">'Top Sheet'!$C$2</definedName>
    <definedName name="dddd" localSheetId="6">#REF!</definedName>
    <definedName name="dddd">#REF!</definedName>
    <definedName name="_xlnm.Print_Titles" localSheetId="10">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E12" i="29"/>
  <c r="E48"/>
  <c r="E46"/>
  <c r="O68" i="21"/>
  <c r="O67"/>
  <c r="O4"/>
  <c r="O7" s="1"/>
  <c r="O6"/>
  <c r="K68"/>
  <c r="K67"/>
  <c r="K11"/>
  <c r="K4"/>
  <c r="M68"/>
  <c r="L68"/>
  <c r="L67"/>
  <c r="M67"/>
  <c r="L6"/>
  <c r="L4"/>
  <c r="L7" s="1"/>
  <c r="M7"/>
  <c r="M6"/>
  <c r="M4"/>
  <c r="N6"/>
  <c r="N4"/>
  <c r="N7" s="1"/>
  <c r="N64"/>
  <c r="N63"/>
  <c r="N52"/>
  <c r="N36"/>
  <c r="N30"/>
  <c r="N32" s="1"/>
  <c r="N15"/>
  <c r="O63"/>
  <c r="O64" s="1"/>
  <c r="M63"/>
  <c r="M64" s="1"/>
  <c r="L63"/>
  <c r="L64" s="1"/>
  <c r="K63"/>
  <c r="K64" s="1"/>
  <c r="O52"/>
  <c r="M52"/>
  <c r="L52"/>
  <c r="K52"/>
  <c r="O36"/>
  <c r="M36"/>
  <c r="L36"/>
  <c r="K36"/>
  <c r="O30"/>
  <c r="O37" s="1"/>
  <c r="O42" s="1"/>
  <c r="M30"/>
  <c r="M37" s="1"/>
  <c r="M42" s="1"/>
  <c r="L30"/>
  <c r="L37" s="1"/>
  <c r="L42" s="1"/>
  <c r="K30"/>
  <c r="K37" s="1"/>
  <c r="K42" s="1"/>
  <c r="O15"/>
  <c r="M15"/>
  <c r="L15"/>
  <c r="K15"/>
  <c r="F16" i="32"/>
  <c r="C12"/>
  <c r="C13" s="1"/>
  <c r="F13"/>
  <c r="F12"/>
  <c r="G12"/>
  <c r="G13" s="1"/>
  <c r="G9"/>
  <c r="G6"/>
  <c r="G4"/>
  <c r="D13"/>
  <c r="D10"/>
  <c r="D7"/>
  <c r="D4"/>
  <c r="F4"/>
  <c r="C4"/>
  <c r="D44" i="29"/>
  <c r="C44"/>
  <c r="C21"/>
  <c r="D21"/>
  <c r="E14"/>
  <c r="E19" s="1"/>
  <c r="N12" i="21" l="1"/>
  <c r="N18" s="1"/>
  <c r="N37"/>
  <c r="N42" s="1"/>
  <c r="L12"/>
  <c r="L11" s="1"/>
  <c r="L32"/>
  <c r="O32"/>
  <c r="K32"/>
  <c r="M32"/>
  <c r="C6" i="32"/>
  <c r="C7" s="1"/>
  <c r="E38" i="29"/>
  <c r="E21" s="1"/>
  <c r="E23" s="1"/>
  <c r="E34"/>
  <c r="V97" i="1"/>
  <c r="U97"/>
  <c r="U41"/>
  <c r="V41"/>
  <c r="V27"/>
  <c r="U27"/>
  <c r="W36"/>
  <c r="S36"/>
  <c r="R36"/>
  <c r="W35"/>
  <c r="S35"/>
  <c r="R35"/>
  <c r="W34"/>
  <c r="S34"/>
  <c r="R34"/>
  <c r="W33"/>
  <c r="S33"/>
  <c r="R33"/>
  <c r="W32"/>
  <c r="S32"/>
  <c r="R32"/>
  <c r="W31"/>
  <c r="S31"/>
  <c r="R31"/>
  <c r="W30"/>
  <c r="S30"/>
  <c r="R30"/>
  <c r="W29"/>
  <c r="S29"/>
  <c r="R29"/>
  <c r="W28"/>
  <c r="S28"/>
  <c r="R28"/>
  <c r="S27"/>
  <c r="R27"/>
  <c r="W26"/>
  <c r="P26"/>
  <c r="R26" s="1"/>
  <c r="AD88"/>
  <c r="AE88"/>
  <c r="AF88"/>
  <c r="AD89"/>
  <c r="AE89"/>
  <c r="AF89"/>
  <c r="AD90"/>
  <c r="AE90"/>
  <c r="AF90"/>
  <c r="AE87"/>
  <c r="AF87"/>
  <c r="AD87"/>
  <c r="AE86"/>
  <c r="AF86"/>
  <c r="AD86"/>
  <c r="P163"/>
  <c r="G4" i="20"/>
  <c r="P135" i="1"/>
  <c r="C8" i="24" s="1"/>
  <c r="P128" i="1"/>
  <c r="P125"/>
  <c r="C7" i="24" s="1"/>
  <c r="D19" i="29"/>
  <c r="C19"/>
  <c r="D61"/>
  <c r="D60"/>
  <c r="D59"/>
  <c r="D58"/>
  <c r="C32"/>
  <c r="D32" s="1"/>
  <c r="C13"/>
  <c r="D13"/>
  <c r="I63" i="21"/>
  <c r="C6" i="31"/>
  <c r="E6" s="1"/>
  <c r="P7" i="1"/>
  <c r="Q141"/>
  <c r="D13" i="22"/>
  <c r="P141" i="1" s="1"/>
  <c r="D17" i="31"/>
  <c r="E16"/>
  <c r="F16"/>
  <c r="B117" i="20"/>
  <c r="B116"/>
  <c r="B115"/>
  <c r="B113"/>
  <c r="B112"/>
  <c r="B110"/>
  <c r="B103"/>
  <c r="B102"/>
  <c r="B100"/>
  <c r="B99"/>
  <c r="B92"/>
  <c r="B90"/>
  <c r="B82"/>
  <c r="B81"/>
  <c r="B71"/>
  <c r="B70"/>
  <c r="B63"/>
  <c r="B61"/>
  <c r="B54"/>
  <c r="B52"/>
  <c r="B50"/>
  <c r="B47"/>
  <c r="B45"/>
  <c r="B43"/>
  <c r="B39"/>
  <c r="B37"/>
  <c r="B29"/>
  <c r="B23"/>
  <c r="B22"/>
  <c r="B14"/>
  <c r="B7"/>
  <c r="C41" i="1"/>
  <c r="C26" i="20" s="1"/>
  <c r="E8" i="31"/>
  <c r="F8"/>
  <c r="E9"/>
  <c r="F9"/>
  <c r="E10"/>
  <c r="F10"/>
  <c r="E11"/>
  <c r="F11"/>
  <c r="E12"/>
  <c r="F12"/>
  <c r="E13"/>
  <c r="F13"/>
  <c r="E14"/>
  <c r="F14"/>
  <c r="E15"/>
  <c r="F15"/>
  <c r="F7"/>
  <c r="E7"/>
  <c r="E4"/>
  <c r="D4"/>
  <c r="C4"/>
  <c r="W153" i="1"/>
  <c r="N23" i="21" l="1"/>
  <c r="N25" s="1"/>
  <c r="L18"/>
  <c r="C9" i="32"/>
  <c r="C10" s="1"/>
  <c r="E39" i="29"/>
  <c r="E44" s="1"/>
  <c r="W27" i="1"/>
  <c r="S26"/>
  <c r="F6" i="31"/>
  <c r="C17"/>
  <c r="E17"/>
  <c r="I32" i="21"/>
  <c r="K76" i="20"/>
  <c r="J76"/>
  <c r="P146" i="1"/>
  <c r="C22" i="24" s="1"/>
  <c r="P140" i="1"/>
  <c r="C21" i="24" s="1"/>
  <c r="P91" i="1"/>
  <c r="C4" i="29"/>
  <c r="C5"/>
  <c r="I11" i="21"/>
  <c r="C55" i="22"/>
  <c r="C57" s="1"/>
  <c r="C60" s="1"/>
  <c r="C44"/>
  <c r="C46" s="1"/>
  <c r="C49" s="1"/>
  <c r="C37"/>
  <c r="C36"/>
  <c r="C34"/>
  <c r="C22"/>
  <c r="C28" s="1"/>
  <c r="C20"/>
  <c r="C17"/>
  <c r="I15" i="21"/>
  <c r="G46"/>
  <c r="I36"/>
  <c r="N46" l="1"/>
  <c r="N53"/>
  <c r="N56" s="1"/>
  <c r="N57" s="1"/>
  <c r="N40"/>
  <c r="N41" s="1"/>
  <c r="N43" s="1"/>
  <c r="N44" s="1"/>
  <c r="L23"/>
  <c r="L25" s="1"/>
  <c r="O12"/>
  <c r="AD91" i="1"/>
  <c r="AF91"/>
  <c r="AE91"/>
  <c r="C52" i="22"/>
  <c r="C53" s="1"/>
  <c r="C21"/>
  <c r="C29" s="1"/>
  <c r="C30" s="1"/>
  <c r="C39"/>
  <c r="C42" s="1"/>
  <c r="G15" i="21"/>
  <c r="C6" i="29"/>
  <c r="P119" i="1"/>
  <c r="P120"/>
  <c r="P111"/>
  <c r="R111" s="1"/>
  <c r="C54" i="29"/>
  <c r="C12"/>
  <c r="C42" i="24"/>
  <c r="C41"/>
  <c r="C38"/>
  <c r="C37"/>
  <c r="C36"/>
  <c r="C35"/>
  <c r="C32"/>
  <c r="C31"/>
  <c r="C28"/>
  <c r="C27"/>
  <c r="C26"/>
  <c r="C25"/>
  <c r="C20"/>
  <c r="W116" i="1"/>
  <c r="S116"/>
  <c r="P116"/>
  <c r="R116" s="1"/>
  <c r="P176"/>
  <c r="W121"/>
  <c r="P121"/>
  <c r="S121"/>
  <c r="V122"/>
  <c r="U122"/>
  <c r="Q122"/>
  <c r="AJ120"/>
  <c r="AI120"/>
  <c r="AH120"/>
  <c r="W120"/>
  <c r="S120"/>
  <c r="W119"/>
  <c r="S119"/>
  <c r="W118"/>
  <c r="S118"/>
  <c r="W117"/>
  <c r="W115"/>
  <c r="S115"/>
  <c r="R115"/>
  <c r="W114"/>
  <c r="S114"/>
  <c r="W113"/>
  <c r="S113"/>
  <c r="R113"/>
  <c r="W112"/>
  <c r="S112"/>
  <c r="W111"/>
  <c r="S111"/>
  <c r="Q98"/>
  <c r="O18" i="21" l="1"/>
  <c r="O23" s="1"/>
  <c r="O25" s="1"/>
  <c r="O11"/>
  <c r="N66"/>
  <c r="L53"/>
  <c r="L56" s="1"/>
  <c r="L57" s="1"/>
  <c r="L66" s="1"/>
  <c r="L40"/>
  <c r="L41" s="1"/>
  <c r="L43" s="1"/>
  <c r="L44" s="1"/>
  <c r="L46"/>
  <c r="C23" i="29"/>
  <c r="C62" i="22"/>
  <c r="C23"/>
  <c r="C63" i="29"/>
  <c r="AH122" i="1"/>
  <c r="D63" i="29"/>
  <c r="R121" i="1"/>
  <c r="P118"/>
  <c r="R118" s="1"/>
  <c r="W110"/>
  <c r="R119"/>
  <c r="R120"/>
  <c r="W122"/>
  <c r="AI122"/>
  <c r="AJ122"/>
  <c r="S110"/>
  <c r="P177"/>
  <c r="H153"/>
  <c r="F153" s="1"/>
  <c r="E54" i="29"/>
  <c r="D54"/>
  <c r="P106" i="1"/>
  <c r="P104"/>
  <c r="P98"/>
  <c r="I64" i="21"/>
  <c r="P105" i="1"/>
  <c r="I52" i="21"/>
  <c r="I30"/>
  <c r="O53" l="1"/>
  <c r="O56" s="1"/>
  <c r="O57" s="1"/>
  <c r="O46"/>
  <c r="O40"/>
  <c r="O41" s="1"/>
  <c r="O43" s="1"/>
  <c r="O44" s="1"/>
  <c r="C28" i="29"/>
  <c r="C30" s="1"/>
  <c r="C42" s="1"/>
  <c r="C43" s="1"/>
  <c r="C48" s="1"/>
  <c r="C49" s="1"/>
  <c r="E63"/>
  <c r="I42" i="21"/>
  <c r="I37"/>
  <c r="D23" i="29"/>
  <c r="D28" s="1"/>
  <c r="D12"/>
  <c r="E28"/>
  <c r="E30" s="1"/>
  <c r="E42" s="1"/>
  <c r="E43" s="1"/>
  <c r="E45" l="1"/>
  <c r="O66" i="21"/>
  <c r="C55" i="29"/>
  <c r="C56" s="1"/>
  <c r="C65" s="1"/>
  <c r="P110" i="1"/>
  <c r="E55" i="29"/>
  <c r="E56" l="1"/>
  <c r="E65" s="1"/>
  <c r="R110" i="1"/>
  <c r="D30" i="29"/>
  <c r="P112" i="1"/>
  <c r="R112" s="1"/>
  <c r="D55" i="29" l="1"/>
  <c r="D56" s="1"/>
  <c r="P117" i="1" s="1"/>
  <c r="D42" i="29"/>
  <c r="D43" s="1"/>
  <c r="D48" s="1"/>
  <c r="P114" i="1" s="1"/>
  <c r="R114" s="1"/>
  <c r="D65" i="29" l="1"/>
  <c r="P122" i="1"/>
  <c r="D49" i="29"/>
  <c r="Q176" i="1" l="1"/>
  <c r="H157"/>
  <c r="F157" s="1"/>
  <c r="Q153"/>
  <c r="Q130"/>
  <c r="Q128"/>
  <c r="Q106"/>
  <c r="Q104"/>
  <c r="Q59"/>
  <c r="AK186"/>
  <c r="AG186"/>
  <c r="AK184"/>
  <c r="AG184"/>
  <c r="AK183"/>
  <c r="AG183"/>
  <c r="AK182"/>
  <c r="AG182"/>
  <c r="AK181"/>
  <c r="AK171"/>
  <c r="AK172"/>
  <c r="AK174"/>
  <c r="AK175"/>
  <c r="AK176"/>
  <c r="AK177"/>
  <c r="AG172"/>
  <c r="AG175"/>
  <c r="AG177"/>
  <c r="AK170"/>
  <c r="AH164"/>
  <c r="AD164"/>
  <c r="AH160"/>
  <c r="AK155"/>
  <c r="AF163"/>
  <c r="AE163"/>
  <c r="AD163"/>
  <c r="AF158"/>
  <c r="AE158"/>
  <c r="AD158"/>
  <c r="AF154"/>
  <c r="AE154"/>
  <c r="AD154"/>
  <c r="AJ152"/>
  <c r="AJ161" s="1"/>
  <c r="AI152"/>
  <c r="AI163" s="1"/>
  <c r="AH152"/>
  <c r="AH159" s="1"/>
  <c r="AH130"/>
  <c r="AI130"/>
  <c r="AJ130"/>
  <c r="AH149"/>
  <c r="AI148"/>
  <c r="AI147"/>
  <c r="AE148"/>
  <c r="AH146"/>
  <c r="AH145"/>
  <c r="AH144"/>
  <c r="AH143"/>
  <c r="AH142"/>
  <c r="AH141"/>
  <c r="AH140"/>
  <c r="AD142"/>
  <c r="AI136"/>
  <c r="AI135"/>
  <c r="AI106"/>
  <c r="AJ106"/>
  <c r="AH106"/>
  <c r="AH91"/>
  <c r="AH90"/>
  <c r="AH89"/>
  <c r="AH88"/>
  <c r="AH87"/>
  <c r="AH86"/>
  <c r="AH81"/>
  <c r="AH80"/>
  <c r="AI79"/>
  <c r="AI78"/>
  <c r="AH77"/>
  <c r="AH76"/>
  <c r="AD81"/>
  <c r="AD80"/>
  <c r="AF79"/>
  <c r="AF78"/>
  <c r="AD77"/>
  <c r="AD76"/>
  <c r="AJ41"/>
  <c r="AH70"/>
  <c r="AH69"/>
  <c r="AD70"/>
  <c r="AD69"/>
  <c r="AJ73"/>
  <c r="AF73"/>
  <c r="AI65"/>
  <c r="AE65"/>
  <c r="AE55"/>
  <c r="AH62"/>
  <c r="AH61"/>
  <c r="AH60"/>
  <c r="AH59"/>
  <c r="AD60"/>
  <c r="AD61"/>
  <c r="AD62"/>
  <c r="AD59"/>
  <c r="AI47"/>
  <c r="AI50"/>
  <c r="AI52"/>
  <c r="AI53"/>
  <c r="AI54"/>
  <c r="AI55"/>
  <c r="AE47"/>
  <c r="AE50"/>
  <c r="AE52"/>
  <c r="AE53"/>
  <c r="AE54"/>
  <c r="AE45"/>
  <c r="AI45"/>
  <c r="AH3"/>
  <c r="AD3"/>
  <c r="C69" i="20"/>
  <c r="E69"/>
  <c r="F69"/>
  <c r="H69" s="1"/>
  <c r="J69"/>
  <c r="K69"/>
  <c r="L69" s="1"/>
  <c r="V92" i="1"/>
  <c r="U92"/>
  <c r="Q92"/>
  <c r="P92"/>
  <c r="W91"/>
  <c r="S91"/>
  <c r="R91"/>
  <c r="C9" i="20"/>
  <c r="E9"/>
  <c r="F9"/>
  <c r="H9" s="1"/>
  <c r="J9"/>
  <c r="K9"/>
  <c r="L9" s="1"/>
  <c r="W8" i="1"/>
  <c r="S8"/>
  <c r="R8"/>
  <c r="C12" i="24"/>
  <c r="R141" i="1"/>
  <c r="W145"/>
  <c r="W141"/>
  <c r="F44" i="22"/>
  <c r="D44"/>
  <c r="D46" s="1"/>
  <c r="D49" s="1"/>
  <c r="D36"/>
  <c r="D37"/>
  <c r="D20"/>
  <c r="D7"/>
  <c r="D15" s="1"/>
  <c r="D17" s="1"/>
  <c r="C105" i="20"/>
  <c r="E105"/>
  <c r="F105"/>
  <c r="H105" s="1"/>
  <c r="J105"/>
  <c r="K105"/>
  <c r="L105" s="1"/>
  <c r="P153" i="1"/>
  <c r="W128"/>
  <c r="G63" i="21"/>
  <c r="Q105" i="1" s="1"/>
  <c r="W129"/>
  <c r="S129"/>
  <c r="R129"/>
  <c r="W127"/>
  <c r="S127"/>
  <c r="R127"/>
  <c r="W126"/>
  <c r="S126"/>
  <c r="R126"/>
  <c r="S128" l="1"/>
  <c r="C7" i="29"/>
  <c r="AG176" i="1"/>
  <c r="C8" i="29"/>
  <c r="G69" i="20"/>
  <c r="G9"/>
  <c r="G105"/>
  <c r="AE153" i="1"/>
  <c r="AH158"/>
  <c r="R117"/>
  <c r="R122" s="1"/>
  <c r="S117"/>
  <c r="AI161"/>
  <c r="AI153"/>
  <c r="AI158"/>
  <c r="C15" i="24"/>
  <c r="AH153" i="1"/>
  <c r="AH163"/>
  <c r="AH161"/>
  <c r="AD153"/>
  <c r="D52" i="22"/>
  <c r="D53" s="1"/>
  <c r="P144" i="1" s="1"/>
  <c r="AD144" s="1"/>
  <c r="AK201"/>
  <c r="R128"/>
  <c r="AJ154"/>
  <c r="AJ159"/>
  <c r="AI162"/>
  <c r="AJ162"/>
  <c r="AF153"/>
  <c r="AI154"/>
  <c r="AI159"/>
  <c r="AH162"/>
  <c r="AJ163"/>
  <c r="AJ153"/>
  <c r="AH154"/>
  <c r="AJ158"/>
  <c r="AD141"/>
  <c r="S141"/>
  <c r="D22" i="22"/>
  <c r="D28" s="1"/>
  <c r="D21"/>
  <c r="D29" s="1"/>
  <c r="D55"/>
  <c r="D57" s="1"/>
  <c r="D60" s="1"/>
  <c r="P160" i="1" s="1"/>
  <c r="AD160" s="1"/>
  <c r="D32" i="22"/>
  <c r="D34" s="1"/>
  <c r="D39" s="1"/>
  <c r="D42" s="1"/>
  <c r="P145" i="1" s="1"/>
  <c r="R145" s="1"/>
  <c r="G32" i="21"/>
  <c r="G37" s="1"/>
  <c r="G30"/>
  <c r="D30"/>
  <c r="W105" i="1"/>
  <c r="H64" i="21"/>
  <c r="D64"/>
  <c r="E64"/>
  <c r="F64"/>
  <c r="G64"/>
  <c r="C64"/>
  <c r="H63"/>
  <c r="H43"/>
  <c r="H18"/>
  <c r="H52"/>
  <c r="E4"/>
  <c r="E52"/>
  <c r="E28"/>
  <c r="E30" s="1"/>
  <c r="E32" s="1"/>
  <c r="E15"/>
  <c r="D54"/>
  <c r="D52"/>
  <c r="F52"/>
  <c r="G52"/>
  <c r="C52"/>
  <c r="C9" i="29" l="1"/>
  <c r="C67" s="1"/>
  <c r="AF122" i="1"/>
  <c r="AD122"/>
  <c r="S122"/>
  <c r="AE122"/>
  <c r="AD145"/>
  <c r="S145"/>
  <c r="D23" i="22"/>
  <c r="D30"/>
  <c r="R105" i="1"/>
  <c r="S105"/>
  <c r="E37" i="21"/>
  <c r="D37"/>
  <c r="D55" s="1"/>
  <c r="D6"/>
  <c r="D9"/>
  <c r="D15"/>
  <c r="C15"/>
  <c r="F15"/>
  <c r="F28"/>
  <c r="F30" s="1"/>
  <c r="F32" s="1"/>
  <c r="G42"/>
  <c r="C9"/>
  <c r="C28" s="1"/>
  <c r="C30" s="1"/>
  <c r="C32" s="1"/>
  <c r="B6"/>
  <c r="AE147" i="1"/>
  <c r="AG181"/>
  <c r="AG174"/>
  <c r="AG171"/>
  <c r="AG170"/>
  <c r="Q161"/>
  <c r="H161"/>
  <c r="Q155"/>
  <c r="M149"/>
  <c r="I149"/>
  <c r="E149"/>
  <c r="W194"/>
  <c r="S194"/>
  <c r="R194"/>
  <c r="L153"/>
  <c r="W154"/>
  <c r="S154"/>
  <c r="R154"/>
  <c r="P143" l="1"/>
  <c r="AD143" s="1"/>
  <c r="D62" i="22"/>
  <c r="D63" s="1"/>
  <c r="D64" s="1"/>
  <c r="D42" i="21"/>
  <c r="H23"/>
  <c r="H25" s="1"/>
  <c r="F37"/>
  <c r="F54"/>
  <c r="E42"/>
  <c r="E55"/>
  <c r="C37"/>
  <c r="C54"/>
  <c r="B7"/>
  <c r="S153" i="1"/>
  <c r="K108" i="20"/>
  <c r="J108"/>
  <c r="F108"/>
  <c r="E108"/>
  <c r="G108" l="1"/>
  <c r="L108"/>
  <c r="H53" i="21"/>
  <c r="H56" s="1"/>
  <c r="H57" s="1"/>
  <c r="H66" s="1"/>
  <c r="G4"/>
  <c r="G7" s="1"/>
  <c r="G12" s="1"/>
  <c r="I7" s="1"/>
  <c r="I12" s="1"/>
  <c r="C4"/>
  <c r="C7" s="1"/>
  <c r="D4"/>
  <c r="D7" s="1"/>
  <c r="D12" s="1"/>
  <c r="C42"/>
  <c r="C55"/>
  <c r="F42"/>
  <c r="F55"/>
  <c r="H108" i="20"/>
  <c r="R153" i="1"/>
  <c r="K12" i="21" l="1"/>
  <c r="I4"/>
  <c r="I18"/>
  <c r="D18"/>
  <c r="D23" s="1"/>
  <c r="D25" s="1"/>
  <c r="G18"/>
  <c r="Q97" i="1" s="1"/>
  <c r="C12" i="21"/>
  <c r="C18" s="1"/>
  <c r="F12"/>
  <c r="F18" s="1"/>
  <c r="I23" l="1"/>
  <c r="P99" i="1" s="1"/>
  <c r="P97"/>
  <c r="K18" i="21"/>
  <c r="C5" i="24"/>
  <c r="D40" i="21"/>
  <c r="D41" s="1"/>
  <c r="D53"/>
  <c r="D56" s="1"/>
  <c r="D57" s="1"/>
  <c r="G23"/>
  <c r="Q99" i="1" s="1"/>
  <c r="C23" i="21"/>
  <c r="C25" s="1"/>
  <c r="F23"/>
  <c r="F25" s="1"/>
  <c r="W161" i="1"/>
  <c r="K23" i="21" l="1"/>
  <c r="K25" s="1"/>
  <c r="D66"/>
  <c r="D70" s="1"/>
  <c r="I25"/>
  <c r="I46" s="1"/>
  <c r="G25"/>
  <c r="G53" s="1"/>
  <c r="G56" s="1"/>
  <c r="G57" s="1"/>
  <c r="Q103" i="1" s="1"/>
  <c r="D43" i="21"/>
  <c r="D44" s="1"/>
  <c r="D45" s="1"/>
  <c r="F40"/>
  <c r="F41" s="1"/>
  <c r="F43" s="1"/>
  <c r="F66" s="1"/>
  <c r="F70" s="1"/>
  <c r="F53"/>
  <c r="F56" s="1"/>
  <c r="F57" s="1"/>
  <c r="C40"/>
  <c r="C41" s="1"/>
  <c r="C43" s="1"/>
  <c r="C53"/>
  <c r="C56" s="1"/>
  <c r="C57" s="1"/>
  <c r="V131" i="1"/>
  <c r="U131"/>
  <c r="Q131"/>
  <c r="F78" i="20" s="1"/>
  <c r="P131" i="1"/>
  <c r="E78" i="20" s="1"/>
  <c r="K53" i="21" l="1"/>
  <c r="K56" s="1"/>
  <c r="K57" s="1"/>
  <c r="K40"/>
  <c r="K41" s="1"/>
  <c r="K43" s="1"/>
  <c r="K44" s="1"/>
  <c r="K46"/>
  <c r="H78" i="20"/>
  <c r="I40" i="21"/>
  <c r="I41" s="1"/>
  <c r="I43" s="1"/>
  <c r="I53"/>
  <c r="I56" s="1"/>
  <c r="I57" s="1"/>
  <c r="C66"/>
  <c r="C70" s="1"/>
  <c r="AH131" i="1"/>
  <c r="AI131"/>
  <c r="AJ131"/>
  <c r="AD131"/>
  <c r="AF131"/>
  <c r="AE131"/>
  <c r="G40" i="21"/>
  <c r="C44"/>
  <c r="C45" s="1"/>
  <c r="F44"/>
  <c r="F45" s="1"/>
  <c r="W197" i="1"/>
  <c r="S197"/>
  <c r="W101"/>
  <c r="S102"/>
  <c r="W100"/>
  <c r="S100"/>
  <c r="R100"/>
  <c r="K66" i="21" l="1"/>
  <c r="P101" i="1"/>
  <c r="C6" i="24" s="1"/>
  <c r="I44" i="21"/>
  <c r="I66"/>
  <c r="P103" i="1"/>
  <c r="G41" i="21"/>
  <c r="G43" s="1"/>
  <c r="W102" i="1"/>
  <c r="R197"/>
  <c r="R102"/>
  <c r="G66" i="21" l="1"/>
  <c r="Q101" i="1"/>
  <c r="G44" i="21"/>
  <c r="P107" i="1"/>
  <c r="AE135"/>
  <c r="L157"/>
  <c r="X157" s="1"/>
  <c r="L156"/>
  <c r="L155"/>
  <c r="L161"/>
  <c r="H156"/>
  <c r="F156" s="1"/>
  <c r="H155"/>
  <c r="F155" s="1"/>
  <c r="X155" s="1"/>
  <c r="L136"/>
  <c r="F136"/>
  <c r="C11" i="24" l="1"/>
  <c r="X136" i="1"/>
  <c r="I67" i="21"/>
  <c r="I68" s="1"/>
  <c r="AE107" i="1"/>
  <c r="AF107"/>
  <c r="AD107"/>
  <c r="X156"/>
  <c r="C14" i="24"/>
  <c r="C13"/>
  <c r="P136" i="1"/>
  <c r="AE136" s="1"/>
  <c r="P155"/>
  <c r="F161"/>
  <c r="C16" i="24" s="1"/>
  <c r="M92" i="1"/>
  <c r="I92"/>
  <c r="E92"/>
  <c r="X4"/>
  <c r="U2"/>
  <c r="R3"/>
  <c r="Q3"/>
  <c r="P3"/>
  <c r="AG155" l="1"/>
  <c r="AG201" s="1"/>
  <c r="R101"/>
  <c r="S101"/>
  <c r="P161"/>
  <c r="G98" s="1"/>
  <c r="X161"/>
  <c r="W144"/>
  <c r="S144"/>
  <c r="AF161" l="1"/>
  <c r="AE161"/>
  <c r="AD161"/>
  <c r="R144"/>
  <c r="W60" l="1"/>
  <c r="S60"/>
  <c r="R60"/>
  <c r="S161"/>
  <c r="R161"/>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49" i="1"/>
  <c r="AD149" s="1"/>
  <c r="AD146"/>
  <c r="AD140"/>
  <c r="G99" l="1"/>
  <c r="G100" s="1"/>
  <c r="W193"/>
  <c r="Q199" l="1"/>
  <c r="K104" i="20" l="1"/>
  <c r="J104"/>
  <c r="F104"/>
  <c r="S193" i="1"/>
  <c r="E104" i="20" l="1"/>
  <c r="G104" s="1"/>
  <c r="R193" i="1"/>
  <c r="Q38" l="1"/>
  <c r="Q39"/>
  <c r="Q178"/>
  <c r="Q188"/>
  <c r="Q150"/>
  <c r="Q162" s="1"/>
  <c r="F76" i="20" s="1"/>
  <c r="Q107" i="1"/>
  <c r="Q137"/>
  <c r="Q83"/>
  <c r="Q71"/>
  <c r="Q63"/>
  <c r="F75" i="20" l="1"/>
  <c r="F79" s="1"/>
  <c r="Q165" i="1"/>
  <c r="Q166" s="1"/>
  <c r="Q189"/>
  <c r="J3" i="20"/>
  <c r="K11" l="1"/>
  <c r="K12"/>
  <c r="J11"/>
  <c r="J12"/>
  <c r="E59"/>
  <c r="G59" s="1"/>
  <c r="F59"/>
  <c r="J59"/>
  <c r="K59"/>
  <c r="H59" l="1"/>
  <c r="L59"/>
  <c r="W80" i="1"/>
  <c r="S80"/>
  <c r="R80" l="1"/>
  <c r="E35" i="20" l="1"/>
  <c r="G35" s="1"/>
  <c r="F35"/>
  <c r="J35"/>
  <c r="K35"/>
  <c r="L35" l="1"/>
  <c r="H35"/>
  <c r="R198" i="1"/>
  <c r="R196"/>
  <c r="R195"/>
  <c r="R187"/>
  <c r="R186"/>
  <c r="R184"/>
  <c r="R183"/>
  <c r="R182"/>
  <c r="R181"/>
  <c r="R177"/>
  <c r="R176"/>
  <c r="R175"/>
  <c r="R174"/>
  <c r="R172"/>
  <c r="R171"/>
  <c r="R170"/>
  <c r="R164"/>
  <c r="R160"/>
  <c r="R158"/>
  <c r="R149"/>
  <c r="R148"/>
  <c r="R147"/>
  <c r="R142"/>
  <c r="R140"/>
  <c r="R136"/>
  <c r="R130"/>
  <c r="R125"/>
  <c r="R106"/>
  <c r="R104"/>
  <c r="R103"/>
  <c r="R99"/>
  <c r="R98"/>
  <c r="R97"/>
  <c r="R88"/>
  <c r="R87"/>
  <c r="R86"/>
  <c r="R79"/>
  <c r="R78"/>
  <c r="R73"/>
  <c r="R70"/>
  <c r="R69"/>
  <c r="R65"/>
  <c r="R61"/>
  <c r="R59"/>
  <c r="R54"/>
  <c r="R53"/>
  <c r="R52"/>
  <c r="R50"/>
  <c r="R47"/>
  <c r="R131" l="1"/>
  <c r="R178"/>
  <c r="R188"/>
  <c r="R71"/>
  <c r="R199"/>
  <c r="R107"/>
  <c r="R189" l="1"/>
  <c r="S54" l="1"/>
  <c r="W54"/>
  <c r="F4" i="20" l="1"/>
  <c r="E4"/>
  <c r="K4"/>
  <c r="J4"/>
  <c r="W65" i="1"/>
  <c r="S65"/>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04" i="1"/>
  <c r="S104"/>
  <c r="J70" i="20" l="1"/>
  <c r="K70"/>
  <c r="K50"/>
  <c r="J90"/>
  <c r="J37"/>
  <c r="J14"/>
  <c r="J43"/>
  <c r="K90"/>
  <c r="K99"/>
  <c r="J50"/>
  <c r="J99"/>
  <c r="K14"/>
  <c r="K43"/>
  <c r="J100" l="1"/>
  <c r="K100"/>
  <c r="W148" i="1"/>
  <c r="S148"/>
  <c r="R89"/>
  <c r="R92" s="1"/>
  <c r="R90"/>
  <c r="R77"/>
  <c r="R81"/>
  <c r="R76"/>
  <c r="R62"/>
  <c r="R55"/>
  <c r="W99"/>
  <c r="S99"/>
  <c r="R63" l="1"/>
  <c r="R8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59" i="1"/>
  <c r="AD159" l="1"/>
  <c r="AE159"/>
  <c r="AF159"/>
  <c r="F70" i="20"/>
  <c r="R159"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50"/>
  <c r="G9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0" i="1"/>
  <c r="S160"/>
  <c r="H99" i="20" l="1"/>
  <c r="H135" i="1"/>
  <c r="E17" i="20" l="1"/>
  <c r="R16" i="1"/>
  <c r="H17" i="20" l="1"/>
  <c r="G17"/>
  <c r="R155" i="1"/>
  <c r="R146" l="1"/>
  <c r="R143"/>
  <c r="R150" l="1"/>
  <c r="R135"/>
  <c r="R137" s="1"/>
  <c r="P39" l="1"/>
  <c r="R39" s="1"/>
  <c r="P38"/>
  <c r="R38"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1" i="1" l="1"/>
  <c r="U71"/>
  <c r="P71"/>
  <c r="W70"/>
  <c r="S70"/>
  <c r="W69"/>
  <c r="S69"/>
  <c r="W71" l="1"/>
  <c r="S71"/>
  <c r="S198" l="1"/>
  <c r="S196"/>
  <c r="S195"/>
  <c r="S187"/>
  <c r="S186"/>
  <c r="S184"/>
  <c r="S183"/>
  <c r="S182"/>
  <c r="S181"/>
  <c r="S177"/>
  <c r="S176"/>
  <c r="S175"/>
  <c r="S174"/>
  <c r="S172"/>
  <c r="S171"/>
  <c r="S170"/>
  <c r="S164"/>
  <c r="S159"/>
  <c r="S158"/>
  <c r="S155"/>
  <c r="S149"/>
  <c r="S143"/>
  <c r="S142"/>
  <c r="S140"/>
  <c r="S136"/>
  <c r="S135"/>
  <c r="S130"/>
  <c r="S125"/>
  <c r="S106"/>
  <c r="S98"/>
  <c r="S90"/>
  <c r="S89"/>
  <c r="S88"/>
  <c r="S87"/>
  <c r="S86"/>
  <c r="S81"/>
  <c r="S79"/>
  <c r="S78"/>
  <c r="S77"/>
  <c r="S76"/>
  <c r="S73"/>
  <c r="S62"/>
  <c r="S61"/>
  <c r="S59"/>
  <c r="S55"/>
  <c r="S53"/>
  <c r="S52"/>
  <c r="S50"/>
  <c r="S47"/>
  <c r="S16"/>
  <c r="W7"/>
  <c r="W198"/>
  <c r="W196"/>
  <c r="W195"/>
  <c r="W187"/>
  <c r="W186"/>
  <c r="W184"/>
  <c r="W183"/>
  <c r="W182"/>
  <c r="W181"/>
  <c r="W177"/>
  <c r="W176"/>
  <c r="W175"/>
  <c r="W174"/>
  <c r="W172"/>
  <c r="W171"/>
  <c r="W170"/>
  <c r="W164"/>
  <c r="W163"/>
  <c r="W162"/>
  <c r="W159"/>
  <c r="W158"/>
  <c r="W155"/>
  <c r="W149"/>
  <c r="W143"/>
  <c r="W142"/>
  <c r="W140"/>
  <c r="W136"/>
  <c r="W135"/>
  <c r="W130"/>
  <c r="W125"/>
  <c r="W106"/>
  <c r="W103"/>
  <c r="W98"/>
  <c r="W90"/>
  <c r="W89"/>
  <c r="W88"/>
  <c r="W87"/>
  <c r="W86"/>
  <c r="W81"/>
  <c r="W79"/>
  <c r="W78"/>
  <c r="W77"/>
  <c r="W76"/>
  <c r="W73"/>
  <c r="W62"/>
  <c r="W61"/>
  <c r="W59"/>
  <c r="W55"/>
  <c r="W53"/>
  <c r="W52"/>
  <c r="W50"/>
  <c r="W47"/>
  <c r="W45"/>
  <c r="W41"/>
  <c r="W20"/>
  <c r="W19"/>
  <c r="W18"/>
  <c r="W17"/>
  <c r="W16"/>
  <c r="W12"/>
  <c r="W11"/>
  <c r="W10"/>
  <c r="W9"/>
  <c r="V13"/>
  <c r="V21"/>
  <c r="V56"/>
  <c r="V63"/>
  <c r="V83"/>
  <c r="V137"/>
  <c r="V165"/>
  <c r="V178"/>
  <c r="V188"/>
  <c r="V199"/>
  <c r="U199"/>
  <c r="U188"/>
  <c r="U178"/>
  <c r="U165"/>
  <c r="U150"/>
  <c r="U137"/>
  <c r="U107"/>
  <c r="U83"/>
  <c r="U63"/>
  <c r="U56"/>
  <c r="U21"/>
  <c r="U13"/>
  <c r="P199"/>
  <c r="P188"/>
  <c r="P178"/>
  <c r="P137"/>
  <c r="P83"/>
  <c r="P63"/>
  <c r="J78" i="20" l="1"/>
  <c r="J75"/>
  <c r="J79" s="1"/>
  <c r="J112" s="1"/>
  <c r="U166" i="1"/>
  <c r="G113"/>
  <c r="AI107"/>
  <c r="AI201" s="1"/>
  <c r="AH107"/>
  <c r="AH201" s="1"/>
  <c r="AJ107"/>
  <c r="AJ201" s="1"/>
  <c r="V93"/>
  <c r="U93"/>
  <c r="S83"/>
  <c r="S137"/>
  <c r="U22"/>
  <c r="U204" s="1"/>
  <c r="S199"/>
  <c r="S188"/>
  <c r="W137"/>
  <c r="W83"/>
  <c r="W21"/>
  <c r="S63"/>
  <c r="W63"/>
  <c r="W165"/>
  <c r="W13"/>
  <c r="S178"/>
  <c r="W199"/>
  <c r="W178"/>
  <c r="W188"/>
  <c r="W92"/>
  <c r="W56"/>
  <c r="V189"/>
  <c r="V22"/>
  <c r="V204" s="1"/>
  <c r="U189"/>
  <c r="P189"/>
  <c r="W204" l="1"/>
  <c r="W22"/>
  <c r="S189"/>
  <c r="W93"/>
  <c r="W189"/>
  <c r="J113" i="20" l="1"/>
  <c r="J116"/>
  <c r="J117" s="1"/>
  <c r="S97" i="1" l="1"/>
  <c r="S103" l="1"/>
  <c r="S107" l="1"/>
  <c r="V107" l="1"/>
  <c r="W97"/>
  <c r="W107" l="1"/>
  <c r="S147" l="1"/>
  <c r="S146"/>
  <c r="P150"/>
  <c r="E75" i="20" s="1"/>
  <c r="P162" i="1" l="1"/>
  <c r="E76" i="20" s="1"/>
  <c r="E79" s="1"/>
  <c r="G79" s="1"/>
  <c r="S150" i="1"/>
  <c r="AE162" l="1"/>
  <c r="AE201" s="1"/>
  <c r="AF162"/>
  <c r="AD162"/>
  <c r="AD201" s="1"/>
  <c r="H75" i="20"/>
  <c r="W147" i="1"/>
  <c r="R163" l="1"/>
  <c r="S163"/>
  <c r="V150"/>
  <c r="K78" i="20" s="1"/>
  <c r="L78" s="1"/>
  <c r="W146" i="1"/>
  <c r="V166" l="1"/>
  <c r="K75" i="20"/>
  <c r="L75" s="1"/>
  <c r="W150" i="1"/>
  <c r="K79" i="20" l="1"/>
  <c r="L79" s="1"/>
  <c r="K112" l="1"/>
  <c r="L112" s="1"/>
  <c r="E10"/>
  <c r="E11"/>
  <c r="E12"/>
  <c r="E13"/>
  <c r="K113" l="1"/>
  <c r="L113" s="1"/>
  <c r="K116"/>
  <c r="K117" s="1"/>
  <c r="L117" s="1"/>
  <c r="L116" l="1"/>
  <c r="S11" i="1"/>
  <c r="F12" i="20"/>
  <c r="R11" i="1"/>
  <c r="S12"/>
  <c r="R12"/>
  <c r="F13" i="20"/>
  <c r="S9" i="1"/>
  <c r="F10" i="20"/>
  <c r="R9" i="1"/>
  <c r="S10"/>
  <c r="F11" i="20"/>
  <c r="R10" i="1"/>
  <c r="H10" i="20" l="1"/>
  <c r="G10"/>
  <c r="H13"/>
  <c r="G13"/>
  <c r="H12"/>
  <c r="G12"/>
  <c r="H11"/>
  <c r="G11"/>
  <c r="P56" i="1"/>
  <c r="E30" i="20"/>
  <c r="S45" i="1"/>
  <c r="F30" i="20"/>
  <c r="F37" s="1"/>
  <c r="Q56" i="1"/>
  <c r="R45"/>
  <c r="R56" s="1"/>
  <c r="R93" s="1"/>
  <c r="E37" i="20" l="1"/>
  <c r="E71" s="1"/>
  <c r="G30"/>
  <c r="G37" s="1"/>
  <c r="G71" s="1"/>
  <c r="S56" i="1"/>
  <c r="Q93"/>
  <c r="H30" i="20"/>
  <c r="F71"/>
  <c r="H37" l="1"/>
  <c r="H71"/>
  <c r="S131" i="1" l="1"/>
  <c r="S162" l="1"/>
  <c r="R162"/>
  <c r="R165" s="1"/>
  <c r="R166" s="1"/>
  <c r="P165"/>
  <c r="P166" s="1"/>
  <c r="S165" l="1"/>
  <c r="H76" i="20"/>
  <c r="H79" l="1"/>
  <c r="S166" i="1"/>
  <c r="U201" l="1"/>
  <c r="U205" l="1"/>
  <c r="U206" s="1"/>
  <c r="U202"/>
  <c r="W131"/>
  <c r="V201" l="1"/>
  <c r="W201" s="1"/>
  <c r="W166"/>
  <c r="V205" l="1"/>
  <c r="W205" s="1"/>
  <c r="V202"/>
  <c r="W202" s="1"/>
  <c r="V206" l="1"/>
  <c r="W206" s="1"/>
  <c r="E6" i="21"/>
  <c r="E7" s="1"/>
  <c r="E12" s="1"/>
  <c r="E18" s="1"/>
  <c r="E23" l="1"/>
  <c r="E25" s="1"/>
  <c r="E40" l="1"/>
  <c r="E41" s="1"/>
  <c r="E43" s="1"/>
  <c r="E53"/>
  <c r="E56" s="1"/>
  <c r="E57" s="1"/>
  <c r="E44" l="1"/>
  <c r="E45" s="1"/>
  <c r="E66"/>
  <c r="E70" s="1"/>
  <c r="S92" i="1"/>
  <c r="P93"/>
  <c r="S93" l="1"/>
  <c r="F8" i="20"/>
  <c r="E8"/>
  <c r="Q13" i="1"/>
  <c r="E14" i="20" l="1"/>
  <c r="G8"/>
  <c r="G14" s="1"/>
  <c r="H8"/>
  <c r="F14"/>
  <c r="P13" i="1"/>
  <c r="S7"/>
  <c r="R7"/>
  <c r="R13" s="1"/>
  <c r="H14" i="20" l="1"/>
  <c r="S13" i="1"/>
  <c r="S20"/>
  <c r="S19"/>
  <c r="S18"/>
  <c r="S17"/>
  <c r="F20" i="20"/>
  <c r="H20" s="1"/>
  <c r="F19"/>
  <c r="H19" s="1"/>
  <c r="F21"/>
  <c r="H21" s="1"/>
  <c r="E19"/>
  <c r="E20"/>
  <c r="G20" s="1"/>
  <c r="R20" i="1"/>
  <c r="E21" i="20"/>
  <c r="F18"/>
  <c r="H18" s="1"/>
  <c r="Q21" i="1"/>
  <c r="Q22" s="1"/>
  <c r="R17"/>
  <c r="G19" i="20" l="1"/>
  <c r="F22"/>
  <c r="F23" s="1"/>
  <c r="P21" i="1"/>
  <c r="P22" s="1"/>
  <c r="E18" i="20"/>
  <c r="Q204" i="1"/>
  <c r="Q37"/>
  <c r="Q40" s="1"/>
  <c r="Q41" s="1"/>
  <c r="Q42" s="1"/>
  <c r="R19"/>
  <c r="R18"/>
  <c r="E22" i="20" l="1"/>
  <c r="E23" s="1"/>
  <c r="H23" s="1"/>
  <c r="G18"/>
  <c r="G22" s="1"/>
  <c r="G23" s="1"/>
  <c r="R21" i="1"/>
  <c r="R22" s="1"/>
  <c r="P204"/>
  <c r="P37"/>
  <c r="S21"/>
  <c r="F115" i="20"/>
  <c r="S22" i="1"/>
  <c r="F26" i="20"/>
  <c r="Q201" i="1"/>
  <c r="G115" i="20" l="1"/>
  <c r="H22"/>
  <c r="E115"/>
  <c r="H115" s="1"/>
  <c r="R204" i="1"/>
  <c r="Q205"/>
  <c r="Q202"/>
  <c r="F112" i="20"/>
  <c r="R37" i="1"/>
  <c r="P40"/>
  <c r="P41" s="1"/>
  <c r="P42" s="1"/>
  <c r="S204"/>
  <c r="F116" i="20" l="1"/>
  <c r="F113"/>
  <c r="Q206" i="1"/>
  <c r="R40"/>
  <c r="R41" s="1"/>
  <c r="R201" s="1"/>
  <c r="R202" s="1"/>
  <c r="F117" i="20" l="1"/>
  <c r="P201" i="1"/>
  <c r="E26" i="20"/>
  <c r="G26" s="1"/>
  <c r="G112" s="1"/>
  <c r="AF41" i="1"/>
  <c r="AF201" s="1"/>
  <c r="S41"/>
  <c r="G116" i="20" l="1"/>
  <c r="G117" s="1"/>
  <c r="G113"/>
  <c r="P205" i="1"/>
  <c r="P202"/>
  <c r="S202" s="1"/>
  <c r="S201"/>
  <c r="E112" i="20"/>
  <c r="H26"/>
  <c r="R205" i="1" l="1"/>
  <c r="P206"/>
  <c r="S205"/>
  <c r="E116" i="20"/>
  <c r="E113"/>
  <c r="H113" s="1"/>
  <c r="H112"/>
  <c r="R206" i="1" l="1"/>
  <c r="S206"/>
  <c r="E117" i="20"/>
  <c r="H117" s="1"/>
  <c r="H116"/>
  <c r="M12" i="21"/>
  <c r="M11" s="1"/>
  <c r="M18" l="1"/>
  <c r="M23" l="1"/>
  <c r="M25" s="1"/>
  <c r="M40" l="1"/>
  <c r="M41" s="1"/>
  <c r="M43" s="1"/>
  <c r="M44" s="1"/>
  <c r="M53"/>
  <c r="M56" s="1"/>
  <c r="M57" s="1"/>
  <c r="M46"/>
  <c r="M66" l="1"/>
</calcChain>
</file>

<file path=xl/comments1.xml><?xml version="1.0" encoding="utf-8"?>
<comments xmlns="http://schemas.openxmlformats.org/spreadsheetml/2006/main">
  <authors>
    <author>Dawn Jacobson</author>
  </authors>
  <commentList>
    <comment ref="G98"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<sst xmlns="http://schemas.openxmlformats.org/spreadsheetml/2006/main" count="813" uniqueCount="518">
  <si>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</si>
  <si>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</si>
  <si>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</si>
  <si>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</si>
  <si>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</si>
  <si>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</si>
  <si>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</si>
  <si>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</si>
  <si>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</si>
  <si>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</si>
  <si>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</si>
  <si>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</si>
  <si>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</si>
  <si>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</si>
  <si>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</si>
  <si>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</si>
  <si>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</si>
  <si>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</si>
  <si>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</si>
  <si>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</si>
  <si>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</si>
  <si>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</si>
  <si>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</si>
  <si>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</si>
  <si>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</si>
  <si>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</si>
  <si>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</si>
  <si>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</si>
  <si>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</si>
  <si>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</si>
  <si>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</si>
  <si>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</si>
  <si>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</si>
  <si>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</si>
  <si>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</si>
  <si>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</si>
  <si>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</si>
  <si>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</si>
  <si>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</si>
  <si>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</si>
  <si>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</si>
  <si>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</si>
  <si>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</si>
  <si>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</si>
  <si>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</si>
  <si>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</si>
  <si>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</si>
  <si>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</si>
  <si>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</si>
  <si>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</si>
  <si>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</si>
  <si>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</si>
  <si>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</si>
  <si>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</si>
  <si>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</si>
  <si>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</si>
  <si>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</si>
  <si>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</si>
  <si>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</si>
  <si>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</si>
  <si>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</si>
  <si>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</si>
  <si>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</si>
  <si>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</si>
  <si>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</si>
  <si>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</si>
  <si>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</si>
  <si>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</si>
  <si>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</si>
  <si>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</si>
  <si>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</si>
  <si>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</si>
  <si>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</si>
  <si>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</si>
  <si>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</si>
  <si>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</si>
  <si>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</si>
  <si>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</si>
  <si>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</si>
  <si>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</si>
  <si>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</si>
  <si>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</si>
  <si>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</si>
  <si>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</si>
  <si>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</si>
  <si>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</si>
  <si>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</si>
  <si>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</si>
  <si>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</si>
  <si>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</si>
  <si>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</si>
  <si>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</si>
  <si>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</si>
  <si>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</si>
  <si>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</si>
  <si>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</si>
  <si>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</si>
  <si>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</si>
  <si>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</si>
  <si>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</si>
  <si>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</si>
  <si>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</si>
  <si>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</si>
  <si>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</si>
  <si>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</si>
  <si>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</si>
  <si>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</si>
  <si>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</si>
  <si>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</si>
  <si>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</si>
  <si>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</si>
  <si>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</si>
  <si>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</si>
  <si>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</si>
  <si>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</si>
  <si>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</si>
  <si>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</si>
  <si>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</si>
  <si>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</si>
  <si>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</si>
  <si>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</si>
  <si>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</si>
  <si>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</si>
  <si>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</si>
  <si>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</si>
  <si>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</si>
  <si>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</si>
  <si>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</si>
  <si>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</si>
  <si>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</si>
  <si>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</si>
  <si>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</si>
  <si>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</si>
  <si>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</si>
  <si>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</si>
  <si>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</si>
  <si>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</si>
  <si>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</si>
  <si>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</si>
  <si>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</si>
  <si>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</si>
  <si>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</si>
  <si>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</si>
  <si>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</si>
  <si>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</si>
  <si>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</si>
  <si>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</si>
  <si>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</si>
  <si>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</si>
  <si>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</si>
  <si>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</si>
  <si>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</si>
  <si>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</si>
  <si>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</si>
  <si>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</si>
  <si>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</si>
  <si>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</si>
  <si>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</si>
  <si>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</si>
  <si>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As requested.</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</si>
  <si>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</si>
  <si>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</si>
  <si>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</si>
  <si>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</si>
  <si>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</si>
  <si>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</si>
  <si>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</si>
  <si>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</si>
  <si>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</si>
  <si>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</si>
  <si>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</si>
  <si>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</si>
  <si>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</si>
  <si>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</si>
  <si>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</si>
  <si>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</si>
  <si>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</si>
  <si>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</si>
  <si>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</si>
  <si>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</si>
  <si>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</si>
  <si>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</si>
  <si>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</si>
  <si>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</si>
  <si>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</si>
  <si>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</si>
  <si>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</si>
  <si>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</si>
  <si>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</si>
  <si>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</si>
  <si>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</si>
  <si>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</si>
  <si>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</si>
  <si>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</si>
  <si>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</si>
  <si>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</si>
  <si>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</si>
  <si>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2019 Request (Jim Sodke):  Choir Piano (2 times) and 3 other pianos (1 time) at $75/each time.  Grand Piano (3 times) at $150 each.  Organ Tuning (1 time) at 750.   Total $1,575.  Includes rate increase and/or minor repairs.</t>
  </si>
  <si>
    <t>Pastor:  Synod increase recommendation is 2% for 2019</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</si>
  <si>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</si>
  <si>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</si>
  <si>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</si>
  <si>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</si>
  <si>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</si>
  <si>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</si>
  <si>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</si>
  <si>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</si>
  <si>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</si>
  <si>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</si>
  <si>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</si>
  <si>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</si>
  <si>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</si>
  <si>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</si>
  <si>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</si>
  <si>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</si>
  <si>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</si>
  <si>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</si>
  <si>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</si>
  <si>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</si>
  <si>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</si>
  <si>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</si>
  <si>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</si>
  <si>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</si>
  <si>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</si>
  <si>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</si>
  <si>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</si>
  <si>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</si>
  <si>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</si>
  <si>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</si>
  <si>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</si>
  <si>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</si>
  <si>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</si>
  <si>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</si>
  <si>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Includes Base Salary, Housing, FICA (Church Share only), and Portion of Premium Allowance</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</si>
  <si>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</si>
  <si>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</si>
  <si>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</si>
  <si>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</si>
  <si>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</si>
  <si>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</si>
  <si>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</si>
  <si>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</si>
  <si>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</si>
  <si>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</si>
  <si>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</si>
  <si>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</si>
  <si>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</si>
  <si>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</si>
  <si>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</si>
  <si>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</si>
  <si>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</si>
  <si>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</si>
  <si>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</si>
  <si>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</si>
  <si>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</si>
  <si>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</si>
  <si>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</si>
  <si>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</si>
  <si>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</si>
  <si>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</si>
  <si>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</si>
  <si>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</si>
  <si>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</si>
  <si>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</si>
  <si>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</si>
  <si>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</si>
  <si>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</si>
  <si>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</si>
  <si>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</si>
  <si>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</si>
  <si>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</si>
  <si>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</si>
  <si>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</si>
  <si>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</si>
  <si>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</si>
  <si>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</si>
  <si>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</si>
  <si>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</si>
  <si>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</si>
  <si>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</si>
  <si>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</si>
  <si>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</si>
  <si>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</si>
  <si>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</si>
  <si>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</si>
  <si>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</si>
  <si>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</si>
  <si>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</si>
  <si>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</si>
  <si>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</si>
  <si>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</si>
  <si>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</si>
  <si>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</si>
  <si>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</si>
  <si>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</si>
  <si>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</si>
  <si>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</si>
  <si>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</si>
  <si>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</si>
  <si>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</si>
  <si>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</si>
  <si>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</si>
  <si>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</si>
  <si>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</si>
  <si>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</si>
  <si>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</si>
  <si>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</si>
  <si>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</si>
  <si>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</si>
  <si>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</si>
  <si>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</si>
  <si>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</si>
  <si>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</si>
  <si>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</si>
  <si>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</si>
  <si>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</si>
  <si>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</si>
  <si>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</si>
  <si>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</si>
  <si>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</si>
  <si>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</si>
  <si>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</si>
  <si>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</si>
  <si>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</si>
  <si>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</si>
  <si>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</si>
  <si>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</si>
  <si>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</si>
  <si>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</si>
  <si>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</si>
  <si>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</si>
  <si>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2019:  $2,000 for new curriculum for 2018 and 2019 $1,200, Carnival $200, Bibles $0, Christmas Program $350, and CLC $250.</t>
  </si>
  <si>
    <r>
      <t xml:space="preserve">2019:  Gowns $200, Breakfast $350, Cake $50, Pictures $200, Flowers $100 and Gifts $100.  </t>
    </r>
    <r>
      <rPr>
        <b/>
        <sz val="11"/>
        <color rgb="FFFF0000"/>
        <rFont val="Calibri"/>
        <family val="2"/>
        <scheme val="minor"/>
      </rPr>
      <t>Expecting 10-12 Confirmants.</t>
    </r>
  </si>
  <si>
    <t>2019:  Curriculum $500 and Materials $250.  They are looking at options with other Churches.  Increase is to support the 5 week summer program.  2019 Actual charged to special fund.</t>
  </si>
  <si>
    <t>2020:  Requested same as 2019.   Cake/Materials $100 and Curriculum/books/cups $100.</t>
  </si>
  <si>
    <t>2020:  Requested same as 2019.</t>
  </si>
  <si>
    <t>2020:  Request same as 2019.  Actuals are much lower so reduced $500.
2019:  Requested $5,000 but included $1,000 for Sound Support payments which was moved to the new Sound Support line.</t>
  </si>
  <si>
    <t>2020:  Request same as 2019 but set up dedicated funds from the Nov 3rd Aebleskivers to be used for the 2020 Picnic.</t>
  </si>
  <si>
    <t>2020:  Request same as 2029.</t>
  </si>
  <si>
    <t>2020:  Per Jim Sodke, keep the same as 2019.  There will be over $1,000 of work coming up (tuning should be done in cooler weather) also some Spring tuning has not yet been billed to us.</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</si>
  <si>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</si>
  <si>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</si>
  <si>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Requested $300 for Brown Bag Bible Study $100, Sunday Adult Ed/Forum $100, and Other Adult Study $100.
2019:  Materials $750.</t>
  </si>
  <si>
    <t>Each year has been trending a bit higher.</t>
  </si>
  <si>
    <t>2020:  Do we need to plan for a new computer or any other larger $ equipment in 2020?  Why is YTD so high?
2019:  Heather new computer  Kim/Cheryl new computer 11/2016 and Janice got a new printer also.</t>
  </si>
  <si>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</si>
  <si>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</si>
  <si>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</si>
  <si>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</si>
  <si>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</si>
  <si>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</si>
  <si>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</si>
  <si>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</si>
  <si>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</si>
  <si>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</si>
  <si>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</si>
  <si>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</si>
  <si>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</si>
  <si>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</si>
  <si>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2020:  No detail.  Keep the same as 2019.</t>
  </si>
  <si>
    <t>Other Programs</t>
  </si>
  <si>
    <t>Telephone</t>
  </si>
  <si>
    <t>Target is to have expenses no greater than the estimated envelope giving.  Initial look at pledges:  95 total with 38 increase, 16 new, 30 same, 13 decreased</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</si>
  <si>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</si>
  <si>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</si>
  <si>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</si>
  <si>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We could bring this down a little for 2020.</t>
  </si>
  <si>
    <t>2020:  Requested same as 2019.  Books $200 and DVDs $100.  They spend their $ at end of each year.</t>
  </si>
  <si>
    <t xml:space="preserve">2020:  Requested Materials $500. </t>
  </si>
  <si>
    <t>2020:  Assembly be for 2020 will likely be in Milwaukee.  Budget includes session and mileage for 3 Congregational members and Pastor.
2019 Assembly will be in Milwaukee.  Assumes 3 congregation members plus Pastor.   Includes session cost and mileage.</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</si>
  <si>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</si>
  <si>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</si>
  <si>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</si>
  <si>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2020:  Per Building &amp; Grounds consider dropping to $6,000 based on YTD.
2019:  Increased budget from $3,500 In 2018 to $8,000.</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</si>
  <si>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</si>
  <si>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</si>
  <si>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</si>
  <si>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</si>
  <si>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</si>
  <si>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</si>
  <si>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</si>
  <si>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</si>
  <si>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</si>
  <si>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Assumes Assoc. Pastor with 5 years Experience.</t>
  </si>
  <si>
    <t>Start July 1,  2020</t>
  </si>
  <si>
    <t>2020:  Per Building &amp; Grounds - same as 2019.   $50 month for Dori's Phone.  Does not include charge for new phone.  Only 5 months for Dori in 2020.</t>
  </si>
  <si>
    <t>Health Care</t>
  </si>
  <si>
    <t>Assumes Family Coverage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</si>
  <si>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</si>
  <si>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</si>
  <si>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</si>
  <si>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</si>
  <si>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</si>
  <si>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</si>
  <si>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</si>
  <si>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</si>
  <si>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</si>
  <si>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</si>
  <si>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</si>
  <si>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</si>
  <si>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</si>
  <si>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2019:  Estimate per Jay;  $600 Vanco, $996 Johnson Bank (Per month:  $20 Online Banking, $40 Remote Deposit, $15 ACH Module and $8/transaction over 250 Transactions…Estimated $83/Month) and $85 for Safety Deposit Box….Round up to $1,700</t>
  </si>
  <si>
    <t>For 2018, Pastor Pahl has chosen to waive both Medical and Dental coverage.</t>
  </si>
  <si>
    <t>Per Compensation Package.  This excludes the $500 that is included for Synod Assembly (budgeted under Misc Programs).</t>
  </si>
  <si>
    <t>Youth Choir Accompanist</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</si>
  <si>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</si>
  <si>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</si>
  <si>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</si>
  <si>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</si>
  <si>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</si>
  <si>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</si>
  <si>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</si>
  <si>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</si>
  <si>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</si>
  <si>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</si>
  <si>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</si>
  <si>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</si>
  <si>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</si>
  <si>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</si>
  <si>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</si>
  <si>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</si>
  <si>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Full audit $2,000 &amp; Financial Questions ($500) and Pastor John ($2,000)</t>
  </si>
  <si>
    <t>2020:  Requested same as 2019.  RIC advertisement is purchased for $200</t>
  </si>
  <si>
    <t>WHO APPROVES MAINT SUPPLIES AND BUILDING &amp; REPAIRS OVERSPENDING COSTS?</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</si>
  <si>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</si>
  <si>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</si>
  <si>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</si>
  <si>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</si>
  <si>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</si>
  <si>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</si>
  <si>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</si>
  <si>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</si>
  <si>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</si>
  <si>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</si>
  <si>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</si>
  <si>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</si>
  <si>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Salary and Wages (no increases)</t>
  </si>
  <si>
    <t>Changing Staff:</t>
  </si>
  <si>
    <t>2020 Assoc Pastor (6 months), Intern (5 months) and Youth Director (5 months)</t>
  </si>
  <si>
    <t>Dori's Salary</t>
  </si>
  <si>
    <t>Intern John's Salary</t>
  </si>
  <si>
    <t>All costs *</t>
  </si>
  <si>
    <t>Total Staff **</t>
  </si>
  <si>
    <t>*  Assumes Assoc. Pastor at family coverage for health insurance.</t>
  </si>
  <si>
    <t xml:space="preserve">2020:  Per Building and Grounds suggest $5,000 due to actual YTD. </t>
  </si>
  <si>
    <t xml:space="preserve">2020:  Per Building and Grounds suggest $4,500 due to actual YTD. </t>
  </si>
  <si>
    <t>2020:  Assumes same number of mailings as for 2019
2019:  Assumes 2 mailings.</t>
  </si>
  <si>
    <t>Loose Offerings &amp; Misc.</t>
  </si>
  <si>
    <t>????</t>
  </si>
  <si>
    <t>Church &amp; Community</t>
  </si>
  <si>
    <t xml:space="preserve">2020:  expect the same .  </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</si>
  <si>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</si>
  <si>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</si>
  <si>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</si>
  <si>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</si>
  <si>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</si>
  <si>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</si>
  <si>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</si>
  <si>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</si>
  <si>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</si>
  <si>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</si>
  <si>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</si>
  <si>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</si>
  <si>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</si>
  <si>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  If 2020 included the Assoc Pastor full year and No Intern or Youth Director, expenses would be nearly $20,000 higher.</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</si>
  <si>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</si>
  <si>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</si>
  <si>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</si>
  <si>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</si>
  <si>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</si>
  <si>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</si>
  <si>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</si>
  <si>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</si>
  <si>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</si>
  <si>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</si>
  <si>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</si>
  <si>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</si>
  <si>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</si>
  <si>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</si>
  <si>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</si>
  <si>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r>
      <t xml:space="preserve">Pastor:  </t>
    </r>
    <r>
      <rPr>
        <sz val="12"/>
        <color theme="1"/>
        <rFont val="Arial"/>
        <family val="2"/>
      </rPr>
      <t>Salary and Housing</t>
    </r>
  </si>
  <si>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</si>
  <si>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</si>
  <si>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</si>
  <si>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</si>
  <si>
    <t>May 2020 YTD Actual</t>
  </si>
  <si>
    <t>May 2020 YTD Budget</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</si>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</sst>
</file>

<file path=xl/styles.xml><?xml version="1.0" encoding="utf-8"?>
<styleSheet xmlns="http://schemas.openxmlformats.org/spreadsheetml/2006/main">
  <numFmts count="14">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s>
  <fonts count="3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right/>
      <top style="hair">
        <color auto="1"/>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21">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12" fillId="0" borderId="33" xfId="1" applyNumberFormat="1" applyFont="1" applyFill="1" applyBorder="1" applyAlignment="1">
      <alignment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9" fontId="0" fillId="0" borderId="0" xfId="2" applyFont="1" applyAlignment="1">
      <alignment vertical="center"/>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6" xfId="2" applyNumberFormat="1" applyFont="1" applyFill="1" applyBorder="1" applyAlignment="1">
      <alignment vertical="center"/>
    </xf>
    <xf numFmtId="165" fontId="0" fillId="0" borderId="29" xfId="2" applyNumberFormat="1" applyFont="1" applyFill="1" applyBorder="1" applyAlignment="1">
      <alignment vertical="center"/>
    </xf>
    <xf numFmtId="165" fontId="0" fillId="11" borderId="26" xfId="2" applyNumberFormat="1" applyFont="1" applyFill="1" applyBorder="1" applyAlignment="1">
      <alignment vertical="center"/>
    </xf>
    <xf numFmtId="165" fontId="15" fillId="11" borderId="26"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5" fontId="7" fillId="0" borderId="26" xfId="0" applyNumberFormat="1" applyFont="1" applyFill="1" applyBorder="1" applyAlignment="1">
      <alignment vertical="center"/>
    </xf>
    <xf numFmtId="5" fontId="0" fillId="11" borderId="26"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0" fillId="0" borderId="0" xfId="1" applyNumberFormat="1" applyFont="1" applyAlignment="1">
      <alignment horizontal="left" vertical="center" wrapText="1"/>
    </xf>
    <xf numFmtId="164" fontId="7" fillId="10" borderId="33" xfId="1" applyNumberFormat="1" applyFont="1" applyFill="1" applyBorder="1" applyAlignment="1">
      <alignment horizontal="left" vertical="center" wrapText="1"/>
    </xf>
    <xf numFmtId="164" fontId="7" fillId="0" borderId="97"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0" fillId="0" borderId="0" xfId="1" applyNumberFormat="1" applyFont="1" applyAlignment="1">
      <alignment horizontal="left" vertical="center" wrapText="1"/>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8" xfId="1" applyNumberFormat="1" applyFont="1" applyBorder="1" applyAlignment="1">
      <alignment vertical="center"/>
    </xf>
    <xf numFmtId="164" fontId="15" fillId="0" borderId="99" xfId="1" applyNumberFormat="1" applyFont="1" applyFill="1" applyBorder="1" applyAlignment="1">
      <alignment vertical="center"/>
    </xf>
    <xf numFmtId="164" fontId="7"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0" fillId="0" borderId="101" xfId="1" applyNumberFormat="1" applyFont="1" applyBorder="1" applyAlignment="1">
      <alignment vertical="center"/>
    </xf>
    <xf numFmtId="165" fontId="0" fillId="0" borderId="102"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3" xfId="1" applyNumberFormat="1" applyFont="1" applyFill="1" applyBorder="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99FFCC"/>
      <color rgb="FFCCCC00"/>
      <color rgb="FFFFFFCC"/>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208"/>
          <c:h val="0.79804560260587254"/>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Year'!$AD$201:$AG$201</c:f>
              <c:numCache>
                <c:formatCode>_("$"* #,##0_);_("$"* \(#,##0\);_("$"* "-"??_);_(@_)</c:formatCode>
                <c:ptCount val="4"/>
                <c:pt idx="0">
                  <c:v>157541.99100000004</c:v>
                </c:pt>
                <c:pt idx="1">
                  <c:v>106386.79099999998</c:v>
                </c:pt>
                <c:pt idx="2">
                  <c:v>128619.21800000001</c:v>
                </c:pt>
                <c:pt idx="3">
                  <c:v>107941</c:v>
                </c:pt>
              </c:numCache>
            </c:numRef>
          </c:val>
        </c:ser>
        <c:firstSliceAng val="0"/>
      </c:pieChart>
    </c:plotArea>
    <c:legend>
      <c:legendPos val="r"/>
    </c:legend>
    <c:plotVisOnly val="1"/>
  </c:chart>
  <c:printSettings>
    <c:headerFooter/>
    <c:pageMargins b="0.75000000000000455" l="0.70000000000000062" r="0.70000000000000062" t="0.750000000000004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4153"/>
          <c:h val="0.79804560260587387"/>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203</xdr:row>
      <xdr:rowOff>6350</xdr:rowOff>
    </xdr:from>
    <xdr:to>
      <xdr:col>34</xdr:col>
      <xdr:colOff>82550</xdr:colOff>
      <xdr:row>224</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A13" sqref="A13"/>
    </sheetView>
  </sheetViews>
  <sheetFormatPr defaultColWidth="9.08984375" defaultRowHeight="23.5"/>
  <cols>
    <col min="1" max="1" width="23.08984375" style="41" customWidth="1"/>
    <col min="2" max="16384" width="9.08984375" style="41"/>
  </cols>
  <sheetData>
    <row r="2" spans="1:3">
      <c r="A2" s="41" t="s">
        <v>165</v>
      </c>
      <c r="C2" s="42">
        <v>2020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22" t="s">
        <v>87</v>
      </c>
      <c r="C1" s="420"/>
      <c r="D1" s="420"/>
      <c r="E1" s="420"/>
    </row>
    <row r="2" spans="1:9" ht="23.25" customHeight="1">
      <c r="E2" s="421" t="s">
        <v>86</v>
      </c>
    </row>
    <row r="3" spans="1:9">
      <c r="E3" s="813" t="s">
        <v>203</v>
      </c>
      <c r="F3" s="815" t="s">
        <v>203</v>
      </c>
      <c r="G3" s="816"/>
      <c r="H3" s="816"/>
      <c r="I3" s="817"/>
    </row>
    <row r="4" spans="1:9" s="2" customFormat="1">
      <c r="A4" s="44"/>
      <c r="D4" s="15"/>
      <c r="E4" s="814"/>
      <c r="F4" s="416" t="s">
        <v>326</v>
      </c>
      <c r="G4" s="417" t="s">
        <v>327</v>
      </c>
      <c r="H4" s="417" t="s">
        <v>328</v>
      </c>
      <c r="I4" s="417" t="s">
        <v>329</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53" t="s">
        <v>84</v>
      </c>
      <c r="D11" s="265"/>
      <c r="E11" s="250">
        <v>2000</v>
      </c>
      <c r="G11" s="1">
        <v>2000</v>
      </c>
    </row>
    <row r="12" spans="1:9">
      <c r="A12" s="43">
        <v>31</v>
      </c>
      <c r="C12" s="258" t="s">
        <v>17</v>
      </c>
      <c r="D12" s="268"/>
      <c r="E12" s="255">
        <v>1000</v>
      </c>
      <c r="G12" s="1">
        <v>1000</v>
      </c>
    </row>
    <row r="13" spans="1:9">
      <c r="A13" s="43">
        <v>32</v>
      </c>
      <c r="C13" s="258" t="s">
        <v>196</v>
      </c>
      <c r="D13" s="268"/>
      <c r="E13" s="255">
        <v>1000</v>
      </c>
      <c r="G13" s="1">
        <v>1000</v>
      </c>
    </row>
    <row r="14" spans="1:9">
      <c r="A14" s="43">
        <v>33</v>
      </c>
      <c r="C14" s="258" t="s">
        <v>18</v>
      </c>
      <c r="D14" s="268"/>
      <c r="E14" s="255">
        <v>300</v>
      </c>
      <c r="G14" s="1">
        <v>300</v>
      </c>
    </row>
    <row r="15" spans="1:9" ht="14.5" customHeight="1">
      <c r="A15" s="43">
        <v>34</v>
      </c>
      <c r="C15" s="258" t="s">
        <v>19</v>
      </c>
      <c r="D15" s="268"/>
      <c r="E15" s="255">
        <v>200</v>
      </c>
      <c r="G15" s="1">
        <v>200</v>
      </c>
    </row>
    <row r="16" spans="1:9">
      <c r="C16" s="258" t="s">
        <v>108</v>
      </c>
      <c r="D16" s="268"/>
      <c r="E16" s="255">
        <v>750</v>
      </c>
      <c r="G16" s="1">
        <v>750</v>
      </c>
    </row>
    <row r="17" spans="1:7" ht="14.4" customHeight="1">
      <c r="A17" s="43">
        <v>35</v>
      </c>
      <c r="C17" s="263" t="s">
        <v>88</v>
      </c>
      <c r="D17" s="271"/>
      <c r="E17" s="260">
        <v>200</v>
      </c>
      <c r="G17" s="1">
        <v>200</v>
      </c>
    </row>
    <row r="18" spans="1:7" s="2" customFormat="1">
      <c r="A18" s="43">
        <v>36</v>
      </c>
      <c r="B18" s="37" t="s">
        <v>20</v>
      </c>
      <c r="C18" s="37"/>
      <c r="D18" s="37"/>
      <c r="E18" s="37">
        <v>5450</v>
      </c>
    </row>
    <row r="19" spans="1:7" ht="6" customHeight="1">
      <c r="A19" s="43">
        <v>37</v>
      </c>
    </row>
    <row r="20" spans="1:7">
      <c r="A20" s="43">
        <v>40</v>
      </c>
      <c r="B20" s="2" t="s">
        <v>153</v>
      </c>
    </row>
    <row r="21" spans="1:7">
      <c r="A21" s="43">
        <v>41</v>
      </c>
      <c r="C21" s="253" t="s">
        <v>21</v>
      </c>
      <c r="D21" s="265"/>
      <c r="E21" s="278">
        <v>4000</v>
      </c>
      <c r="F21" s="1">
        <v>4000</v>
      </c>
    </row>
    <row r="22" spans="1:7">
      <c r="C22" s="258" t="s">
        <v>158</v>
      </c>
      <c r="D22" s="268"/>
      <c r="E22" s="255">
        <v>0</v>
      </c>
      <c r="F22" s="1">
        <v>0</v>
      </c>
    </row>
    <row r="23" spans="1:7">
      <c r="A23" s="43">
        <v>43</v>
      </c>
      <c r="C23" s="258" t="s">
        <v>22</v>
      </c>
      <c r="D23" s="268"/>
      <c r="E23" s="255">
        <v>100</v>
      </c>
      <c r="F23" s="1">
        <v>100</v>
      </c>
    </row>
    <row r="24" spans="1:7">
      <c r="A24" s="43">
        <v>44</v>
      </c>
      <c r="C24" s="263" t="s">
        <v>23</v>
      </c>
      <c r="D24" s="271"/>
      <c r="E24" s="260">
        <v>200</v>
      </c>
      <c r="F24" s="1">
        <v>200</v>
      </c>
    </row>
    <row r="25" spans="1:7" s="2" customFormat="1">
      <c r="A25" s="43">
        <v>45</v>
      </c>
      <c r="B25" s="37" t="s">
        <v>154</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53" t="s">
        <v>96</v>
      </c>
      <c r="D30" s="265"/>
      <c r="E30" s="250">
        <v>400</v>
      </c>
      <c r="F30" s="1">
        <v>400</v>
      </c>
    </row>
    <row r="31" spans="1:7">
      <c r="A31" s="43">
        <v>55</v>
      </c>
      <c r="C31" s="263" t="s">
        <v>91</v>
      </c>
      <c r="D31" s="271"/>
      <c r="E31" s="26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53" t="s">
        <v>27</v>
      </c>
      <c r="D37" s="265"/>
      <c r="E37" s="278">
        <v>200</v>
      </c>
      <c r="F37" s="1">
        <v>200</v>
      </c>
    </row>
    <row r="38" spans="1:8">
      <c r="A38" s="43">
        <v>62</v>
      </c>
      <c r="C38" s="258" t="s">
        <v>28</v>
      </c>
      <c r="D38" s="268"/>
      <c r="E38" s="276">
        <v>800</v>
      </c>
      <c r="F38" s="1">
        <v>800</v>
      </c>
    </row>
    <row r="39" spans="1:8">
      <c r="A39" s="43">
        <v>63</v>
      </c>
      <c r="C39" s="258" t="s">
        <v>29</v>
      </c>
      <c r="D39" s="268"/>
      <c r="E39" s="276">
        <v>1000</v>
      </c>
      <c r="H39" s="1">
        <v>1000</v>
      </c>
    </row>
    <row r="40" spans="1:8">
      <c r="A40" s="43">
        <v>64</v>
      </c>
      <c r="C40" s="258" t="s">
        <v>30</v>
      </c>
      <c r="D40" s="268"/>
      <c r="E40" s="276">
        <v>3000</v>
      </c>
      <c r="H40" s="1">
        <v>3000</v>
      </c>
    </row>
    <row r="41" spans="1:8">
      <c r="C41" s="258" t="s">
        <v>112</v>
      </c>
      <c r="D41" s="268"/>
      <c r="E41" s="276">
        <v>200</v>
      </c>
      <c r="F41" s="1">
        <v>200</v>
      </c>
    </row>
    <row r="42" spans="1:8">
      <c r="C42" s="258" t="s">
        <v>189</v>
      </c>
      <c r="D42" s="268"/>
      <c r="E42" s="276">
        <v>0</v>
      </c>
      <c r="F42" s="1">
        <v>0</v>
      </c>
    </row>
    <row r="43" spans="1:8">
      <c r="A43" s="43">
        <v>65</v>
      </c>
      <c r="C43" s="263" t="s">
        <v>117</v>
      </c>
      <c r="D43" s="271"/>
      <c r="E43" s="27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53" t="s">
        <v>33</v>
      </c>
      <c r="D47" s="265"/>
      <c r="E47" s="278">
        <v>3500</v>
      </c>
      <c r="F47" s="1">
        <v>3500</v>
      </c>
    </row>
    <row r="48" spans="1:8">
      <c r="A48" s="43">
        <v>70</v>
      </c>
      <c r="C48" s="258" t="s">
        <v>34</v>
      </c>
      <c r="D48" s="268"/>
      <c r="E48" s="255">
        <v>3250</v>
      </c>
      <c r="F48" s="1">
        <v>3250</v>
      </c>
    </row>
    <row r="49" spans="1:6" ht="14.5" customHeight="1">
      <c r="A49" s="43">
        <v>73</v>
      </c>
      <c r="C49" s="258" t="s">
        <v>35</v>
      </c>
      <c r="D49" s="268"/>
      <c r="E49" s="276">
        <v>13000</v>
      </c>
      <c r="F49" s="1">
        <v>13000</v>
      </c>
    </row>
    <row r="50" spans="1:6">
      <c r="A50" s="43">
        <v>74</v>
      </c>
      <c r="C50" s="258" t="s">
        <v>36</v>
      </c>
      <c r="D50" s="268"/>
      <c r="E50" s="276">
        <v>1000</v>
      </c>
      <c r="F50" s="1">
        <v>1000</v>
      </c>
    </row>
    <row r="51" spans="1:6">
      <c r="A51" s="43">
        <v>75</v>
      </c>
      <c r="C51" s="263" t="s">
        <v>37</v>
      </c>
      <c r="D51" s="271"/>
      <c r="E51" s="277">
        <v>1700</v>
      </c>
      <c r="F51" s="1">
        <v>1700</v>
      </c>
    </row>
    <row r="52" spans="1:6" ht="14.5" customHeight="1">
      <c r="A52" s="43">
        <v>73</v>
      </c>
      <c r="C52" s="258" t="s">
        <v>325</v>
      </c>
      <c r="D52" s="268"/>
      <c r="E52" s="27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155</v>
      </c>
      <c r="D57" s="50" t="s">
        <v>241</v>
      </c>
    </row>
    <row r="58" spans="1:6" ht="14.5" customHeight="1">
      <c r="A58" s="43">
        <v>81</v>
      </c>
      <c r="C58" s="253" t="s">
        <v>184</v>
      </c>
      <c r="D58" s="265"/>
      <c r="E58" s="284">
        <v>72737</v>
      </c>
    </row>
    <row r="59" spans="1:6">
      <c r="A59" s="43">
        <v>82</v>
      </c>
      <c r="C59" s="258" t="s">
        <v>40</v>
      </c>
      <c r="D59" s="268"/>
      <c r="E59" s="292">
        <v>1500</v>
      </c>
    </row>
    <row r="60" spans="1:6" ht="14.5" customHeight="1">
      <c r="C60" s="258" t="s">
        <v>105</v>
      </c>
      <c r="D60" s="268"/>
      <c r="E60" s="292">
        <v>5564.3805000000002</v>
      </c>
    </row>
    <row r="61" spans="1:6" ht="14" customHeight="1">
      <c r="C61" s="258" t="s">
        <v>175</v>
      </c>
      <c r="D61" s="268"/>
      <c r="E61" s="292">
        <v>16110</v>
      </c>
    </row>
    <row r="62" spans="1:6" ht="14.4" customHeight="1">
      <c r="A62" s="43">
        <v>83</v>
      </c>
      <c r="C62" s="258" t="s">
        <v>176</v>
      </c>
      <c r="D62" s="268"/>
      <c r="E62" s="292">
        <v>2662</v>
      </c>
    </row>
    <row r="63" spans="1:6">
      <c r="C63" s="258" t="s">
        <v>107</v>
      </c>
      <c r="D63" s="268"/>
      <c r="E63" s="292">
        <v>600</v>
      </c>
    </row>
    <row r="64" spans="1:6">
      <c r="C64" s="258" t="s">
        <v>230</v>
      </c>
      <c r="D64" s="268"/>
      <c r="E64" s="292">
        <v>480</v>
      </c>
    </row>
    <row r="65" spans="1:8">
      <c r="A65" s="43">
        <v>85</v>
      </c>
      <c r="C65" s="263" t="s">
        <v>41</v>
      </c>
      <c r="D65" s="271"/>
      <c r="E65" s="306">
        <v>1000</v>
      </c>
      <c r="F65" s="418">
        <v>0.4</v>
      </c>
      <c r="G65" s="418">
        <v>0.2</v>
      </c>
      <c r="H65" s="418">
        <v>0.4</v>
      </c>
    </row>
    <row r="66" spans="1:8" s="2" customFormat="1">
      <c r="A66" s="43">
        <v>86</v>
      </c>
      <c r="B66" s="24" t="s">
        <v>156</v>
      </c>
      <c r="C66" s="24"/>
      <c r="D66" s="24"/>
      <c r="E66" s="24">
        <v>100653.3805</v>
      </c>
      <c r="F66" s="2">
        <v>40261.352200000001</v>
      </c>
      <c r="G66" s="2">
        <v>20130.676100000001</v>
      </c>
      <c r="H66" s="2">
        <v>40261.352200000001</v>
      </c>
    </row>
    <row r="67" spans="1:8" ht="6.75" customHeight="1">
      <c r="A67" s="43">
        <v>87</v>
      </c>
    </row>
    <row r="68" spans="1:8">
      <c r="A68" s="43">
        <v>88</v>
      </c>
      <c r="B68" s="2" t="s">
        <v>194</v>
      </c>
      <c r="E68" s="39"/>
    </row>
    <row r="69" spans="1:8">
      <c r="A69" s="43">
        <v>89</v>
      </c>
      <c r="C69" s="253" t="s">
        <v>42</v>
      </c>
      <c r="D69" s="265"/>
      <c r="E69" s="278">
        <v>45000</v>
      </c>
    </row>
    <row r="70" spans="1:8">
      <c r="C70" s="258" t="s">
        <v>41</v>
      </c>
      <c r="D70" s="268"/>
      <c r="E70" s="276">
        <v>750</v>
      </c>
    </row>
    <row r="71" spans="1:8">
      <c r="C71" s="258" t="s">
        <v>43</v>
      </c>
      <c r="D71" s="268"/>
      <c r="E71" s="276">
        <v>1500</v>
      </c>
    </row>
    <row r="72" spans="1:8">
      <c r="C72" s="258" t="s">
        <v>230</v>
      </c>
      <c r="D72" s="268"/>
      <c r="E72" s="276">
        <v>480</v>
      </c>
    </row>
    <row r="73" spans="1:8">
      <c r="C73" s="258" t="s">
        <v>107</v>
      </c>
      <c r="D73" s="268"/>
      <c r="E73" s="276">
        <v>350</v>
      </c>
    </row>
    <row r="74" spans="1:8">
      <c r="A74" s="43">
        <v>90</v>
      </c>
      <c r="C74" s="263" t="s">
        <v>238</v>
      </c>
      <c r="D74" s="271"/>
      <c r="E74" s="277">
        <v>2000</v>
      </c>
      <c r="F74" s="418">
        <v>0.4</v>
      </c>
      <c r="G74" s="418">
        <v>0.4</v>
      </c>
      <c r="H74" s="418">
        <v>0.2</v>
      </c>
    </row>
    <row r="75" spans="1:8" s="2" customFormat="1">
      <c r="A75" s="43">
        <v>91</v>
      </c>
      <c r="B75" s="24" t="s">
        <v>195</v>
      </c>
      <c r="C75" s="24"/>
      <c r="D75" s="24"/>
      <c r="E75" s="24">
        <v>50080</v>
      </c>
      <c r="F75" s="2">
        <v>20032</v>
      </c>
      <c r="G75" s="2">
        <v>20032</v>
      </c>
      <c r="H75" s="2">
        <v>10016</v>
      </c>
    </row>
    <row r="76" spans="1:8" ht="4.5" customHeight="1">
      <c r="A76" s="43">
        <v>92</v>
      </c>
    </row>
    <row r="77" spans="1:8" ht="4.5" customHeight="1"/>
    <row r="78" spans="1:8">
      <c r="A78" s="43">
        <v>93</v>
      </c>
      <c r="B78" s="2" t="s">
        <v>167</v>
      </c>
    </row>
    <row r="79" spans="1:8">
      <c r="A79" s="43">
        <v>94</v>
      </c>
      <c r="C79" s="253" t="s">
        <v>42</v>
      </c>
      <c r="D79" s="265"/>
      <c r="E79" s="284">
        <v>20808</v>
      </c>
      <c r="G79" s="1">
        <v>20808</v>
      </c>
    </row>
    <row r="80" spans="1:8">
      <c r="A80" s="43">
        <v>95</v>
      </c>
      <c r="C80" s="263" t="s">
        <v>44</v>
      </c>
      <c r="D80" s="271"/>
      <c r="E80" s="30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53" t="s">
        <v>109</v>
      </c>
      <c r="D85" s="265"/>
      <c r="E85" s="284">
        <v>15918</v>
      </c>
      <c r="F85" s="1">
        <v>15918</v>
      </c>
    </row>
    <row r="86" spans="1:7">
      <c r="C86" s="253" t="s">
        <v>245</v>
      </c>
      <c r="D86" s="265"/>
      <c r="E86" s="284">
        <v>3000</v>
      </c>
      <c r="F86" s="1">
        <v>3000</v>
      </c>
    </row>
    <row r="87" spans="1:7">
      <c r="A87" s="43">
        <v>109</v>
      </c>
      <c r="C87" s="258" t="s">
        <v>47</v>
      </c>
      <c r="D87" s="268"/>
      <c r="E87" s="255">
        <v>500</v>
      </c>
      <c r="F87" s="1">
        <v>500</v>
      </c>
    </row>
    <row r="88" spans="1:7">
      <c r="A88" s="43">
        <v>110</v>
      </c>
      <c r="C88" s="258" t="s">
        <v>48</v>
      </c>
      <c r="D88" s="268"/>
      <c r="E88" s="292">
        <v>13290</v>
      </c>
      <c r="F88" s="1">
        <v>13290</v>
      </c>
    </row>
    <row r="89" spans="1:7">
      <c r="A89" s="43">
        <v>110</v>
      </c>
      <c r="C89" s="716" t="s">
        <v>312</v>
      </c>
      <c r="D89" s="716"/>
      <c r="E89" s="292">
        <v>3000</v>
      </c>
      <c r="F89" s="1">
        <v>3000</v>
      </c>
    </row>
    <row r="90" spans="1:7">
      <c r="C90" s="258" t="s">
        <v>307</v>
      </c>
      <c r="D90" s="268"/>
      <c r="E90" s="292">
        <v>3350</v>
      </c>
      <c r="F90" s="1">
        <v>3350</v>
      </c>
    </row>
    <row r="91" spans="1:7">
      <c r="A91" s="43">
        <v>111</v>
      </c>
      <c r="C91" s="258" t="s">
        <v>49</v>
      </c>
      <c r="D91" s="268"/>
      <c r="E91" s="292">
        <v>7484</v>
      </c>
      <c r="F91" s="1">
        <v>7484</v>
      </c>
    </row>
    <row r="92" spans="1:7">
      <c r="A92" s="43">
        <v>112</v>
      </c>
      <c r="C92" s="258" t="s">
        <v>50</v>
      </c>
      <c r="D92" s="268"/>
      <c r="E92" s="292">
        <v>1785</v>
      </c>
      <c r="G92" s="1">
        <v>1785</v>
      </c>
    </row>
    <row r="93" spans="1:7">
      <c r="C93" s="258" t="s">
        <v>106</v>
      </c>
      <c r="D93" s="268"/>
      <c r="E93" s="276">
        <v>0</v>
      </c>
      <c r="G93" s="1">
        <v>0</v>
      </c>
    </row>
    <row r="94" spans="1:7">
      <c r="A94" s="43">
        <v>113</v>
      </c>
      <c r="C94" s="263" t="s">
        <v>110</v>
      </c>
      <c r="D94" s="271"/>
      <c r="E94" s="30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18">
        <v>0.33300000000000002</v>
      </c>
      <c r="G97" s="418">
        <v>0.33300000000000002</v>
      </c>
      <c r="H97" s="418">
        <v>0.33400000000000002</v>
      </c>
    </row>
    <row r="98" spans="1:9">
      <c r="C98" s="258" t="s">
        <v>190</v>
      </c>
      <c r="D98" s="268"/>
      <c r="E98" s="284">
        <v>35360</v>
      </c>
      <c r="F98" s="1">
        <v>11774.880000000001</v>
      </c>
      <c r="G98" s="1">
        <v>11774.880000000001</v>
      </c>
      <c r="H98" s="1">
        <v>11810.24</v>
      </c>
    </row>
    <row r="99" spans="1:9">
      <c r="A99" s="43">
        <v>122</v>
      </c>
      <c r="C99" s="258" t="s">
        <v>192</v>
      </c>
      <c r="D99" s="268"/>
      <c r="E99" s="276">
        <v>1000</v>
      </c>
      <c r="F99" s="1">
        <v>333</v>
      </c>
      <c r="G99" s="1">
        <v>333</v>
      </c>
      <c r="H99" s="1">
        <v>334</v>
      </c>
    </row>
    <row r="100" spans="1:9">
      <c r="A100" s="43">
        <v>118</v>
      </c>
      <c r="C100" s="258" t="s">
        <v>54</v>
      </c>
      <c r="D100" s="268"/>
      <c r="E100" s="292">
        <v>33465</v>
      </c>
      <c r="I100" s="1">
        <v>33465</v>
      </c>
    </row>
    <row r="101" spans="1:9">
      <c r="A101" s="43">
        <v>119</v>
      </c>
      <c r="C101" s="258" t="s">
        <v>55</v>
      </c>
      <c r="D101" s="268"/>
      <c r="E101" s="276">
        <v>400</v>
      </c>
      <c r="F101" s="1">
        <v>133.20000000000002</v>
      </c>
      <c r="G101" s="1">
        <v>133.20000000000002</v>
      </c>
      <c r="H101" s="1">
        <v>133.6</v>
      </c>
    </row>
    <row r="102" spans="1:9">
      <c r="A102" s="43">
        <v>120</v>
      </c>
      <c r="C102" s="258" t="s">
        <v>99</v>
      </c>
      <c r="D102" s="268"/>
      <c r="E102" s="276">
        <v>700</v>
      </c>
      <c r="F102" s="1">
        <v>233.10000000000002</v>
      </c>
      <c r="G102" s="1">
        <v>233.10000000000002</v>
      </c>
      <c r="H102" s="1">
        <v>233.8</v>
      </c>
    </row>
    <row r="103" spans="1:9" ht="14" customHeight="1">
      <c r="C103" s="258" t="s">
        <v>116</v>
      </c>
      <c r="D103" s="268"/>
      <c r="E103" s="292">
        <v>925</v>
      </c>
      <c r="F103" s="1">
        <v>925</v>
      </c>
    </row>
    <row r="104" spans="1:9">
      <c r="C104" s="716" t="s">
        <v>191</v>
      </c>
      <c r="D104" s="716"/>
      <c r="E104" s="329">
        <v>11138</v>
      </c>
      <c r="F104" s="1">
        <v>3708.9540000000002</v>
      </c>
      <c r="G104" s="1">
        <v>3708.9540000000002</v>
      </c>
      <c r="H104" s="1">
        <v>3720.0920000000001</v>
      </c>
    </row>
    <row r="105" spans="1:9" ht="14.5" customHeight="1">
      <c r="A105" s="43">
        <v>123</v>
      </c>
      <c r="C105" s="258" t="s">
        <v>56</v>
      </c>
      <c r="D105" s="268"/>
      <c r="E105" s="292">
        <v>14502</v>
      </c>
      <c r="F105" s="1">
        <v>4829.1660000000002</v>
      </c>
      <c r="G105" s="1">
        <v>4829.1660000000002</v>
      </c>
      <c r="H105" s="1">
        <v>4843.6680000000006</v>
      </c>
    </row>
    <row r="106" spans="1:9" ht="14.4" customHeight="1">
      <c r="A106" s="43">
        <v>124</v>
      </c>
      <c r="C106" s="258" t="s">
        <v>57</v>
      </c>
      <c r="D106" s="268"/>
      <c r="E106" s="276">
        <v>3384</v>
      </c>
      <c r="F106" s="1">
        <v>1126.8720000000001</v>
      </c>
      <c r="G106" s="1">
        <v>1126.8720000000001</v>
      </c>
      <c r="H106" s="1">
        <v>1130.2560000000001</v>
      </c>
    </row>
    <row r="107" spans="1:9">
      <c r="A107" s="43">
        <v>125</v>
      </c>
      <c r="C107" s="258" t="s">
        <v>58</v>
      </c>
      <c r="D107" s="26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58" t="s">
        <v>63</v>
      </c>
      <c r="D113" s="268"/>
      <c r="E113" s="278">
        <v>10500</v>
      </c>
      <c r="I113" s="1">
        <v>10500</v>
      </c>
    </row>
    <row r="114" spans="1:9" ht="14.4" customHeight="1">
      <c r="A114" s="43">
        <v>133</v>
      </c>
      <c r="C114" s="258" t="s">
        <v>64</v>
      </c>
      <c r="D114" s="268"/>
      <c r="E114" s="276">
        <v>8160</v>
      </c>
      <c r="I114" s="1">
        <v>8160</v>
      </c>
    </row>
    <row r="115" spans="1:9">
      <c r="A115" s="43">
        <v>134</v>
      </c>
      <c r="C115" s="258" t="s">
        <v>65</v>
      </c>
      <c r="D115" s="268"/>
      <c r="E115" s="255">
        <v>4500</v>
      </c>
      <c r="I115" s="1">
        <v>4500</v>
      </c>
    </row>
    <row r="116" spans="1:9" ht="14.4" customHeight="1">
      <c r="A116" s="43">
        <v>135</v>
      </c>
      <c r="C116" s="258" t="s">
        <v>66</v>
      </c>
      <c r="D116" s="268"/>
      <c r="E116" s="255">
        <v>816</v>
      </c>
      <c r="I116" s="1">
        <v>816</v>
      </c>
    </row>
    <row r="117" spans="1:9" ht="14.4" customHeight="1">
      <c r="A117" s="43">
        <v>136</v>
      </c>
      <c r="C117" s="258" t="s">
        <v>67</v>
      </c>
      <c r="D117" s="268"/>
      <c r="E117" s="276">
        <v>300</v>
      </c>
      <c r="I117" s="1">
        <v>300</v>
      </c>
    </row>
    <row r="118" spans="1:9" ht="14.4" customHeight="1">
      <c r="A118" s="43">
        <v>137</v>
      </c>
      <c r="C118" s="258" t="s">
        <v>68</v>
      </c>
      <c r="D118" s="268"/>
      <c r="E118" s="276">
        <v>600</v>
      </c>
      <c r="I118" s="1">
        <v>600</v>
      </c>
    </row>
    <row r="119" spans="1:9" ht="14.4" customHeight="1">
      <c r="A119" s="43">
        <v>138</v>
      </c>
      <c r="C119" s="258" t="s">
        <v>104</v>
      </c>
      <c r="D119" s="268"/>
      <c r="E119" s="26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53" t="s">
        <v>71</v>
      </c>
      <c r="D123" s="265"/>
      <c r="E123" s="278">
        <v>16899.940000000002</v>
      </c>
      <c r="I123" s="1">
        <v>16899.940000000002</v>
      </c>
    </row>
    <row r="124" spans="1:9">
      <c r="A124" s="43">
        <v>143</v>
      </c>
      <c r="C124" s="258" t="s">
        <v>72</v>
      </c>
      <c r="D124" s="268"/>
      <c r="E124" s="255">
        <v>4500</v>
      </c>
      <c r="I124" s="1">
        <v>4500</v>
      </c>
    </row>
    <row r="125" spans="1:9">
      <c r="A125" s="43">
        <v>144</v>
      </c>
      <c r="C125" s="258" t="s">
        <v>97</v>
      </c>
      <c r="D125" s="268"/>
      <c r="E125" s="255">
        <v>4000</v>
      </c>
      <c r="I125" s="1">
        <v>4000</v>
      </c>
    </row>
    <row r="126" spans="1:9">
      <c r="A126" s="43">
        <v>145</v>
      </c>
      <c r="C126" s="716" t="s">
        <v>100</v>
      </c>
      <c r="D126" s="716"/>
      <c r="E126" s="276">
        <v>8000</v>
      </c>
      <c r="I126" s="1">
        <v>8000</v>
      </c>
    </row>
    <row r="127" spans="1:9">
      <c r="A127" s="43">
        <v>146</v>
      </c>
      <c r="C127" s="263" t="s">
        <v>73</v>
      </c>
      <c r="D127" s="271"/>
      <c r="E127" s="26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58" t="s">
        <v>152</v>
      </c>
      <c r="D133" s="268"/>
      <c r="E133" s="276">
        <v>12000</v>
      </c>
    </row>
    <row r="134" spans="1:9">
      <c r="A134" s="43">
        <v>157</v>
      </c>
      <c r="C134" s="258" t="s">
        <v>157</v>
      </c>
      <c r="D134" s="268"/>
      <c r="E134" s="27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6" t="s">
        <v>168</v>
      </c>
      <c r="C140" s="107"/>
      <c r="D140" s="107"/>
      <c r="E140" s="109">
        <v>513300</v>
      </c>
    </row>
    <row r="141" spans="1:9">
      <c r="B141" s="113" t="s">
        <v>160</v>
      </c>
      <c r="C141" s="101"/>
      <c r="D141" s="101"/>
      <c r="E141" s="103">
        <v>500932.32049999997</v>
      </c>
      <c r="F141" s="423">
        <v>164734.65720000005</v>
      </c>
      <c r="G141" s="423">
        <v>103945.78110000001</v>
      </c>
      <c r="H141" s="423">
        <v>128013.94220000002</v>
      </c>
      <c r="I141" s="423">
        <v>104240.94</v>
      </c>
    </row>
    <row r="142" spans="1:9" ht="15" thickBot="1">
      <c r="B142" s="115" t="s">
        <v>169</v>
      </c>
      <c r="C142" s="116"/>
      <c r="D142" s="116"/>
      <c r="E142" s="119">
        <v>12367.679500000027</v>
      </c>
    </row>
    <row r="146" spans="1:4">
      <c r="D146" s="76"/>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120"/>
  <sheetViews>
    <sheetView showGridLines="0" topLeftCell="B87" workbookViewId="0">
      <selection activeCell="B8" sqref="A8:XFD10"/>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698" t="s">
        <v>87</v>
      </c>
      <c r="C1" s="698"/>
      <c r="D1" s="698"/>
      <c r="E1" s="698"/>
      <c r="F1" s="698"/>
      <c r="G1" s="698"/>
      <c r="H1" s="698"/>
      <c r="I1" s="698"/>
      <c r="J1" s="698"/>
      <c r="K1" s="698"/>
      <c r="L1" s="698"/>
    </row>
    <row r="2" spans="1:12" ht="8.25" customHeight="1">
      <c r="B2" s="699"/>
      <c r="C2" s="699"/>
      <c r="D2" s="699"/>
      <c r="E2" s="699"/>
      <c r="F2" s="699"/>
      <c r="G2" s="699"/>
      <c r="H2" s="699"/>
      <c r="I2" s="699"/>
      <c r="J2" s="699"/>
      <c r="K2" s="699"/>
      <c r="L2" s="699"/>
    </row>
    <row r="3" spans="1:12" ht="18" customHeight="1">
      <c r="E3" s="703" t="s">
        <v>86</v>
      </c>
      <c r="F3" s="704"/>
      <c r="G3" s="704"/>
      <c r="H3" s="705"/>
      <c r="J3" s="700" t="str">
        <f>+'New Year-Full Year'!U2</f>
        <v>2019 Year to Date (YTD)</v>
      </c>
      <c r="K3" s="701"/>
      <c r="L3" s="702"/>
    </row>
    <row r="4" spans="1:12" ht="22.5" customHeight="1">
      <c r="E4" s="711" t="str">
        <f>+'New Year-Full Year'!P3</f>
        <v>2020 Budget</v>
      </c>
      <c r="F4" s="709" t="str">
        <f>+'New Year-Full Year'!Q3</f>
        <v>2019 Budget</v>
      </c>
      <c r="G4" s="707" t="str">
        <f>Bud_Yr&amp;" Budget vs "&amp;Bud_Yr-1&amp;" Budget"</f>
        <v>2020 Budget vs 2019 Budget</v>
      </c>
      <c r="H4" s="708"/>
      <c r="J4" s="711" t="str">
        <f>+'New Year-Full Year'!U3</f>
        <v>May 2020 YTD Actual</v>
      </c>
      <c r="K4" s="709" t="str">
        <f>+'New Year-Full Year'!V3</f>
        <v>May 2020 YTD Budget</v>
      </c>
      <c r="L4" s="713" t="s">
        <v>85</v>
      </c>
    </row>
    <row r="5" spans="1:12" s="2" customFormat="1">
      <c r="A5" s="44"/>
      <c r="E5" s="712"/>
      <c r="F5" s="710"/>
      <c r="G5" s="606" t="s">
        <v>113</v>
      </c>
      <c r="H5" s="51" t="s">
        <v>114</v>
      </c>
      <c r="J5" s="712"/>
      <c r="K5" s="710"/>
      <c r="L5" s="714"/>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490000</v>
      </c>
      <c r="G8" s="38">
        <f>+E8-F8</f>
        <v>-13000</v>
      </c>
      <c r="H8" s="4">
        <f t="shared" ref="H8:H14" si="0">IF(F8=0,"NA",(+E8-F8)/F8)</f>
        <v>-2.6530612244897958E-2</v>
      </c>
      <c r="J8" s="38">
        <f>+'New Year-Full Year'!U7</f>
        <v>227003.88</v>
      </c>
      <c r="K8" s="38">
        <f>+'New Year-Full Year'!V7</f>
        <v>203122.93</v>
      </c>
      <c r="L8" s="4">
        <f t="shared" ref="L8:L14" si="1">IF(K8=0,"NA",(+J8-K8)/K8)</f>
        <v>0.11756895196421208</v>
      </c>
    </row>
    <row r="9" spans="1:12">
      <c r="C9" s="1" t="str">
        <f>+'New Year-Full Year'!C8</f>
        <v>Advent Offerings</v>
      </c>
      <c r="E9" s="38">
        <f>+'New Year-Full Year'!P8</f>
        <v>0</v>
      </c>
      <c r="F9" s="38">
        <f>+'New Year-Full Year'!Q8</f>
        <v>0</v>
      </c>
      <c r="G9" s="38">
        <f t="shared" ref="G9:G13" si="2">+E9-F9</f>
        <v>0</v>
      </c>
      <c r="H9" s="4" t="str">
        <f>IF(F9=0,"NA",(+E9-F9)/F9)</f>
        <v>NA</v>
      </c>
      <c r="J9" s="38">
        <f>+'New Year-Full Year'!U8</f>
        <v>0</v>
      </c>
      <c r="K9" s="38">
        <f>+'New Year-Full Year'!V8</f>
        <v>0</v>
      </c>
      <c r="L9" s="4" t="str">
        <f>IF(K9=0,"NA",(+J9-K9)/K9)</f>
        <v>NA</v>
      </c>
    </row>
    <row r="10" spans="1:12">
      <c r="A10" s="43">
        <v>4</v>
      </c>
      <c r="C10" s="1" t="str">
        <f>+'New Year-Full Year'!C9</f>
        <v>Easter Offerings</v>
      </c>
      <c r="E10" s="38">
        <f>+'New Year-Full Year'!P9</f>
        <v>3500</v>
      </c>
      <c r="F10" s="38">
        <f>+'New Year-Full Year'!Q9</f>
        <v>3500</v>
      </c>
      <c r="G10" s="38">
        <f t="shared" si="2"/>
        <v>0</v>
      </c>
      <c r="H10" s="4">
        <f t="shared" si="0"/>
        <v>0</v>
      </c>
      <c r="J10" s="38">
        <f>+'New Year-Full Year'!U9</f>
        <v>2619.6999999999998</v>
      </c>
      <c r="K10" s="38">
        <f>+'New Year-Full Year'!V9</f>
        <v>3500</v>
      </c>
      <c r="L10" s="4">
        <f t="shared" si="1"/>
        <v>-0.25151428571428575</v>
      </c>
    </row>
    <row r="11" spans="1:12">
      <c r="A11" s="43">
        <v>5</v>
      </c>
      <c r="C11" s="1" t="str">
        <f>+'New Year-Full Year'!C10</f>
        <v>Thanksgiving Offerings</v>
      </c>
      <c r="E11" s="38">
        <f>+'New Year-Full Year'!P10</f>
        <v>1000</v>
      </c>
      <c r="F11" s="38">
        <f>+'New Year-Full Year'!Q10</f>
        <v>1000</v>
      </c>
      <c r="G11" s="38">
        <f t="shared" si="2"/>
        <v>0</v>
      </c>
      <c r="H11" s="4">
        <f t="shared" si="0"/>
        <v>0</v>
      </c>
      <c r="J11" s="38">
        <f>+'New Year-Full Year'!U10</f>
        <v>0</v>
      </c>
      <c r="K11" s="38">
        <f>+'New Year-Full Year'!V10</f>
        <v>0</v>
      </c>
      <c r="L11" s="4" t="str">
        <f t="shared" si="1"/>
        <v>NA</v>
      </c>
    </row>
    <row r="12" spans="1:12">
      <c r="A12" s="43">
        <v>6</v>
      </c>
      <c r="C12" s="1" t="str">
        <f>+'New Year-Full Year'!C11</f>
        <v>Christmas Offerings</v>
      </c>
      <c r="E12" s="38">
        <f>+'New Year-Full Year'!P11</f>
        <v>5000</v>
      </c>
      <c r="F12" s="38">
        <f>+'New Year-Full Year'!Q11</f>
        <v>5000</v>
      </c>
      <c r="G12" s="38">
        <f t="shared" si="2"/>
        <v>0</v>
      </c>
      <c r="H12" s="4">
        <f t="shared" si="0"/>
        <v>0</v>
      </c>
      <c r="J12" s="38">
        <f>+'New Year-Full Year'!U11</f>
        <v>0</v>
      </c>
      <c r="K12" s="38">
        <f>+'New Year-Full Year'!V11</f>
        <v>0</v>
      </c>
      <c r="L12" s="4" t="str">
        <f t="shared" si="1"/>
        <v>NA</v>
      </c>
    </row>
    <row r="13" spans="1:12">
      <c r="A13" s="43">
        <v>7</v>
      </c>
      <c r="C13" s="1" t="str">
        <f>+'New Year-Full Year'!C12</f>
        <v>Lenten Offerings</v>
      </c>
      <c r="E13" s="38">
        <f>+'New Year-Full Year'!P12</f>
        <v>3000</v>
      </c>
      <c r="F13" s="38">
        <f>+'New Year-Full Year'!Q12</f>
        <v>2800</v>
      </c>
      <c r="G13" s="38">
        <f t="shared" si="2"/>
        <v>200</v>
      </c>
      <c r="H13" s="4">
        <f t="shared" si="0"/>
        <v>7.1428571428571425E-2</v>
      </c>
      <c r="J13" s="38">
        <f>+'New Year-Full Year'!U12</f>
        <v>1739</v>
      </c>
      <c r="K13" s="38">
        <f>+'New Year-Full Year'!V12</f>
        <v>3000</v>
      </c>
      <c r="L13" s="4">
        <f t="shared" si="1"/>
        <v>-0.42033333333333334</v>
      </c>
    </row>
    <row r="14" spans="1:12">
      <c r="A14" s="43">
        <v>8</v>
      </c>
      <c r="B14" s="10" t="str">
        <f>+'New Year-Full Year'!B13</f>
        <v>Total Envelope Giving</v>
      </c>
      <c r="C14" s="10"/>
      <c r="D14" s="10"/>
      <c r="E14" s="10">
        <f>SUM(E8:E13)</f>
        <v>489500</v>
      </c>
      <c r="F14" s="10">
        <f>SUM(F8:F13)</f>
        <v>502300</v>
      </c>
      <c r="G14" s="10">
        <f>SUM(G8:G13)</f>
        <v>-12800</v>
      </c>
      <c r="H14" s="11">
        <f t="shared" si="0"/>
        <v>-2.5482779215608202E-2</v>
      </c>
      <c r="J14" s="10">
        <f>SUM(J8:J13)</f>
        <v>231362.58000000002</v>
      </c>
      <c r="K14" s="10">
        <f>SUM(K8:K13)</f>
        <v>209622.93</v>
      </c>
      <c r="L14" s="11">
        <f t="shared" si="1"/>
        <v>0.1037083586227901</v>
      </c>
    </row>
    <row r="15" spans="1:12" ht="5.25" customHeight="1">
      <c r="A15" s="43">
        <v>9</v>
      </c>
      <c r="H15" s="39"/>
    </row>
    <row r="16" spans="1:12">
      <c r="A16" s="43">
        <v>10</v>
      </c>
      <c r="B16" s="2" t="s">
        <v>7</v>
      </c>
      <c r="H16" s="39"/>
    </row>
    <row r="17" spans="1:12">
      <c r="A17" s="43">
        <v>11</v>
      </c>
      <c r="C17" s="1" t="str">
        <f>+'New Year-Full Year'!C16</f>
        <v>Loose Offerings &amp; Misc.</v>
      </c>
      <c r="E17" s="38">
        <f>+'New Year-Full Year'!P16</f>
        <v>11000</v>
      </c>
      <c r="F17" s="38">
        <f>+'New Year-Full Year'!Q16</f>
        <v>11000</v>
      </c>
      <c r="G17" s="38">
        <f t="shared" ref="G17:G20" si="3">+E17-F17</f>
        <v>0</v>
      </c>
      <c r="H17" s="4">
        <f t="shared" ref="H17:H23" si="4">IF(F17=0,"NA",(+E17-F17)/F17)</f>
        <v>0</v>
      </c>
      <c r="J17" s="38">
        <f>+'New Year-Full Year'!U16</f>
        <v>8022.99</v>
      </c>
      <c r="K17" s="38">
        <f>+'New Year-Full Year'!V16</f>
        <v>4583.3500000000004</v>
      </c>
      <c r="L17" s="4">
        <f t="shared" ref="L17:L23" si="5">IF(K17=0,"NA",(+J17-K17)/K17)</f>
        <v>0.75046418013025384</v>
      </c>
    </row>
    <row r="18" spans="1:12" hidden="1">
      <c r="A18" s="43">
        <v>12</v>
      </c>
      <c r="C18" s="1" t="str">
        <f>+'New Year-Full Year'!C17</f>
        <v>Misc Income</v>
      </c>
      <c r="E18" s="38">
        <f>+'New Year-Full Year'!P17</f>
        <v>0</v>
      </c>
      <c r="F18" s="38">
        <f>+'New Year-Full Year'!Q17</f>
        <v>0</v>
      </c>
      <c r="G18" s="38">
        <f t="shared" si="3"/>
        <v>0</v>
      </c>
      <c r="H18" s="4" t="str">
        <f t="shared" si="4"/>
        <v>NA</v>
      </c>
      <c r="J18" s="38">
        <f>+'New Year-Full Year'!U17</f>
        <v>0</v>
      </c>
      <c r="K18" s="38">
        <f>+'New Year-Full Year'!V17</f>
        <v>0</v>
      </c>
      <c r="L18" s="4" t="str">
        <f t="shared" si="5"/>
        <v>NA</v>
      </c>
    </row>
    <row r="19" spans="1:12" hidden="1">
      <c r="A19" s="43">
        <v>13</v>
      </c>
      <c r="C19" s="1" t="str">
        <f>+'New Year-Full Year'!C18</f>
        <v>Special Appeal</v>
      </c>
      <c r="E19" s="38">
        <f>+'New Year-Full Year'!P18</f>
        <v>0</v>
      </c>
      <c r="F19" s="38">
        <f>+'New Year-Full Year'!Q18</f>
        <v>0</v>
      </c>
      <c r="G19" s="38">
        <f t="shared" si="3"/>
        <v>0</v>
      </c>
      <c r="H19" s="4" t="str">
        <f t="shared" si="4"/>
        <v>NA</v>
      </c>
      <c r="J19" s="38">
        <f>+'New Year-Full Year'!U18</f>
        <v>0</v>
      </c>
      <c r="K19" s="38">
        <f>+'New Year-Full Year'!V18</f>
        <v>0</v>
      </c>
      <c r="L19" s="4" t="str">
        <f t="shared" si="5"/>
        <v>NA</v>
      </c>
    </row>
    <row r="20" spans="1:12">
      <c r="A20" s="43">
        <v>14</v>
      </c>
      <c r="C20" s="1" t="str">
        <f>+'New Year-Full Year'!C19</f>
        <v>Current Investment Income</v>
      </c>
      <c r="E20" s="38">
        <f>+'New Year-Full Year'!P19</f>
        <v>0</v>
      </c>
      <c r="F20" s="38">
        <f>+'New Year-Full Year'!Q19</f>
        <v>0</v>
      </c>
      <c r="G20" s="38">
        <f t="shared" si="3"/>
        <v>0</v>
      </c>
      <c r="H20" s="4" t="str">
        <f t="shared" si="4"/>
        <v>NA</v>
      </c>
      <c r="J20" s="38">
        <f>+'New Year-Full Year'!U19</f>
        <v>0</v>
      </c>
      <c r="K20" s="38">
        <f>+'New Year-Full Year'!V19</f>
        <v>0</v>
      </c>
      <c r="L20" s="4" t="str">
        <f t="shared" si="5"/>
        <v>NA</v>
      </c>
    </row>
    <row r="21" spans="1:12" hidden="1">
      <c r="A21" s="43">
        <v>15</v>
      </c>
      <c r="C21" s="1" t="str">
        <f>+'New Year-Full Year'!C20</f>
        <v>Clearing Account</v>
      </c>
      <c r="E21" s="38">
        <f>+'New Year-Full Year'!P20</f>
        <v>0</v>
      </c>
      <c r="F21" s="38">
        <f>+'New Year-Full Year'!Q20</f>
        <v>0</v>
      </c>
      <c r="G21" s="38"/>
      <c r="H21" s="4" t="str">
        <f t="shared" si="4"/>
        <v>NA</v>
      </c>
      <c r="J21" s="38">
        <f>+'New Year-Full Year'!U20</f>
        <v>0</v>
      </c>
      <c r="K21" s="38">
        <f>+'New Year-Full Year'!V20</f>
        <v>0</v>
      </c>
      <c r="L21" s="4" t="str">
        <f t="shared" si="5"/>
        <v>NA</v>
      </c>
    </row>
    <row r="22" spans="1:12">
      <c r="A22" s="43">
        <v>16</v>
      </c>
      <c r="B22" s="10" t="str">
        <f>+'New Year-Full Year'!B21</f>
        <v>Total Misc Income</v>
      </c>
      <c r="C22" s="10"/>
      <c r="D22" s="10"/>
      <c r="E22" s="10">
        <f>SUM(E17:E21)</f>
        <v>11000</v>
      </c>
      <c r="F22" s="10">
        <f>SUM(F17:F21)</f>
        <v>11000</v>
      </c>
      <c r="G22" s="10">
        <f>SUM(G17:G21)</f>
        <v>0</v>
      </c>
      <c r="H22" s="11">
        <f t="shared" si="4"/>
        <v>0</v>
      </c>
      <c r="J22" s="10">
        <f>SUM(J17:J21)</f>
        <v>8022.99</v>
      </c>
      <c r="K22" s="10">
        <f>SUM(K17:K21)</f>
        <v>4583.3500000000004</v>
      </c>
      <c r="L22" s="11">
        <f t="shared" si="5"/>
        <v>0.75046418013025384</v>
      </c>
    </row>
    <row r="23" spans="1:12">
      <c r="A23" s="43">
        <v>17</v>
      </c>
      <c r="B23" s="10" t="str">
        <f>+'New Year-Full Year'!B22</f>
        <v>TOTAL INCOME</v>
      </c>
      <c r="C23" s="10"/>
      <c r="D23" s="10"/>
      <c r="E23" s="10">
        <f>+E14+E22</f>
        <v>500500</v>
      </c>
      <c r="F23" s="10">
        <f>+F14+F22</f>
        <v>513300</v>
      </c>
      <c r="G23" s="10">
        <f>+G14+G22</f>
        <v>-12800</v>
      </c>
      <c r="H23" s="11">
        <f t="shared" si="4"/>
        <v>-2.4936684200272743E-2</v>
      </c>
      <c r="J23" s="10">
        <f>+J14+J22</f>
        <v>239385.57</v>
      </c>
      <c r="K23" s="10">
        <f>+K14+K22</f>
        <v>214206.28</v>
      </c>
      <c r="L23" s="11">
        <f t="shared" si="5"/>
        <v>0.1175469271955986</v>
      </c>
    </row>
    <row r="24" spans="1:12" ht="6" customHeight="1">
      <c r="A24" s="43">
        <v>18</v>
      </c>
      <c r="H24" s="39"/>
    </row>
    <row r="25" spans="1:12" ht="18.5">
      <c r="A25" s="43">
        <v>19</v>
      </c>
      <c r="B25" s="7" t="s">
        <v>12</v>
      </c>
      <c r="H25" s="39"/>
    </row>
    <row r="26" spans="1:12" s="2" customFormat="1">
      <c r="A26" s="43">
        <v>26</v>
      </c>
      <c r="B26" s="12"/>
      <c r="C26" s="12" t="str">
        <f>+'New Year-Full Year'!C41</f>
        <v>8% Benevolence</v>
      </c>
      <c r="D26" s="12"/>
      <c r="E26" s="12">
        <f>+'New Year-Full Year'!P41</f>
        <v>40040</v>
      </c>
      <c r="F26" s="12">
        <f>+'New Year-Full Year'!Q41</f>
        <v>51330</v>
      </c>
      <c r="G26" s="12">
        <f t="shared" ref="G26" si="6">+E26-F26</f>
        <v>-11290</v>
      </c>
      <c r="H26" s="14">
        <f>IF(F26=0,"NA",(+E26-F26)/F26)</f>
        <v>-0.21994934736021821</v>
      </c>
      <c r="I26" s="1"/>
      <c r="J26" s="12">
        <f>+'New Year-Full Year'!U41</f>
        <v>16308.35</v>
      </c>
      <c r="K26" s="12">
        <f>+'New Year-Full Year'!V41</f>
        <v>14808.45</v>
      </c>
      <c r="L26" s="14">
        <f>IF(K26=0,"NA",(+J26-K26)/K26)</f>
        <v>0.1012867653265534</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06" t="str">
        <f>+'New Year-Full Year'!B44</f>
        <v>Parish Ed</v>
      </c>
      <c r="C29" s="706"/>
      <c r="D29" s="706"/>
      <c r="H29" s="39"/>
    </row>
    <row r="30" spans="1:12">
      <c r="A30" s="43">
        <v>30</v>
      </c>
      <c r="C30" s="1" t="str">
        <f>+'New Year-Full Year'!C45</f>
        <v>Sunday School</v>
      </c>
      <c r="E30" s="38">
        <f>+'New Year-Full Year'!P45</f>
        <v>2300</v>
      </c>
      <c r="F30" s="38">
        <f>+'New Year-Full Year'!Q45</f>
        <v>2000</v>
      </c>
      <c r="G30" s="38">
        <f t="shared" ref="G30:G36" si="7">+E30-F30</f>
        <v>300</v>
      </c>
      <c r="H30" s="4">
        <f t="shared" ref="H30:H37" si="8">IF(F30=0,"NA",(+E30-F30)/F30)</f>
        <v>0.15</v>
      </c>
      <c r="J30" s="38">
        <f>+'New Year-Full Year'!U45</f>
        <v>670.36</v>
      </c>
      <c r="K30" s="38">
        <f>+'New Year-Full Year'!V45</f>
        <v>1277.76</v>
      </c>
      <c r="L30" s="4">
        <f t="shared" ref="L30:L37" si="9">IF(K30=0,"NA",(+J30-K30)/K30)</f>
        <v>-0.47536313548710241</v>
      </c>
    </row>
    <row r="31" spans="1:12">
      <c r="A31" s="43">
        <v>31</v>
      </c>
      <c r="C31" s="1" t="str">
        <f>+'New Year-Full Year'!C47</f>
        <v>Confirmation</v>
      </c>
      <c r="E31" s="38">
        <f>+'New Year-Full Year'!P47</f>
        <v>1000</v>
      </c>
      <c r="F31" s="38">
        <f>+'New Year-Full Year'!Q47</f>
        <v>1000</v>
      </c>
      <c r="G31" s="38">
        <f t="shared" si="7"/>
        <v>0</v>
      </c>
      <c r="H31" s="4">
        <f t="shared" si="8"/>
        <v>0</v>
      </c>
      <c r="J31" s="38">
        <f>+'New Year-Full Year'!U47</f>
        <v>0</v>
      </c>
      <c r="K31" s="38">
        <f>+'New Year-Full Year'!V47</f>
        <v>0</v>
      </c>
      <c r="L31" s="4" t="str">
        <f t="shared" si="9"/>
        <v>NA</v>
      </c>
    </row>
    <row r="32" spans="1:12">
      <c r="A32" s="43">
        <v>32</v>
      </c>
      <c r="C32" s="1" t="str">
        <f>+'New Year-Full Year'!C50</f>
        <v>Neighborhood Camp</v>
      </c>
      <c r="E32" s="38">
        <f>+'New Year-Full Year'!P50</f>
        <v>250</v>
      </c>
      <c r="F32" s="38">
        <f>+'New Year-Full Year'!Q50</f>
        <v>1000</v>
      </c>
      <c r="G32" s="38">
        <f t="shared" si="7"/>
        <v>-750</v>
      </c>
      <c r="H32" s="4">
        <f t="shared" si="8"/>
        <v>-0.75</v>
      </c>
      <c r="J32" s="38">
        <f>+'New Year-Full Year'!U50</f>
        <v>0</v>
      </c>
      <c r="K32" s="38">
        <f>+'New Year-Full Year'!V50</f>
        <v>0</v>
      </c>
      <c r="L32" s="4" t="str">
        <f t="shared" si="9"/>
        <v>NA</v>
      </c>
    </row>
    <row r="33" spans="1:12">
      <c r="A33" s="43">
        <v>33</v>
      </c>
      <c r="C33" s="1" t="str">
        <f>+'New Year-Full Year'!C52</f>
        <v>Library</v>
      </c>
      <c r="E33" s="38">
        <f>+'New Year-Full Year'!P52</f>
        <v>300</v>
      </c>
      <c r="F33" s="38">
        <f>+'New Year-Full Year'!Q52</f>
        <v>300</v>
      </c>
      <c r="G33" s="38">
        <f t="shared" si="7"/>
        <v>0</v>
      </c>
      <c r="H33" s="4">
        <f t="shared" si="8"/>
        <v>0</v>
      </c>
      <c r="J33" s="38">
        <f>+'New Year-Full Year'!U52</f>
        <v>0</v>
      </c>
      <c r="K33" s="38">
        <f>+'New Year-Full Year'!V52</f>
        <v>0</v>
      </c>
      <c r="L33" s="4" t="str">
        <f t="shared" si="9"/>
        <v>NA</v>
      </c>
    </row>
    <row r="34" spans="1:12">
      <c r="A34" s="43">
        <v>34</v>
      </c>
      <c r="C34" s="1" t="str">
        <f>+'New Year-Full Year'!C53</f>
        <v>Communion Education</v>
      </c>
      <c r="E34" s="38">
        <f>+'New Year-Full Year'!P53</f>
        <v>200</v>
      </c>
      <c r="F34" s="38">
        <f>+'New Year-Full Year'!Q53</f>
        <v>200</v>
      </c>
      <c r="G34" s="38">
        <f t="shared" si="7"/>
        <v>0</v>
      </c>
      <c r="H34" s="4">
        <f t="shared" si="8"/>
        <v>0</v>
      </c>
      <c r="J34" s="38">
        <f>+'New Year-Full Year'!U53</f>
        <v>76.92</v>
      </c>
      <c r="K34" s="38">
        <f>+'New Year-Full Year'!V53</f>
        <v>200</v>
      </c>
      <c r="L34" s="4">
        <f t="shared" si="9"/>
        <v>-0.61539999999999995</v>
      </c>
    </row>
    <row r="35" spans="1:12">
      <c r="C35" s="1" t="str">
        <f>+'New Year-Full Year'!C54</f>
        <v>Adult Education</v>
      </c>
      <c r="E35" s="38">
        <f>+'New Year-Full Year'!P54</f>
        <v>550</v>
      </c>
      <c r="F35" s="38">
        <f>+'New Year-Full Year'!Q54</f>
        <v>750</v>
      </c>
      <c r="G35" s="38">
        <f t="shared" si="7"/>
        <v>-200</v>
      </c>
      <c r="H35" s="4">
        <f t="shared" si="8"/>
        <v>-0.26666666666666666</v>
      </c>
      <c r="J35" s="38">
        <f>+'New Year-Full Year'!U54</f>
        <v>28.32</v>
      </c>
      <c r="K35" s="38">
        <f>+'New Year-Full Year'!V54</f>
        <v>229.15</v>
      </c>
      <c r="L35" s="4">
        <f>IF(K35=0,"NA",(+J35-K35)/K35)</f>
        <v>-0.87641283002400183</v>
      </c>
    </row>
    <row r="36" spans="1:12">
      <c r="A36" s="43">
        <v>35</v>
      </c>
      <c r="C36" s="1" t="str">
        <f>+'New Year-Full Year'!C55</f>
        <v>Cradle Roll</v>
      </c>
      <c r="E36" s="38">
        <f>+'New Year-Full Year'!P55</f>
        <v>250</v>
      </c>
      <c r="F36" s="38">
        <f>+'New Year-Full Year'!Q55</f>
        <v>200</v>
      </c>
      <c r="G36" s="38">
        <f t="shared" si="7"/>
        <v>50</v>
      </c>
      <c r="H36" s="4">
        <f t="shared" si="8"/>
        <v>0.25</v>
      </c>
      <c r="J36" s="38">
        <f>+'New Year-Full Year'!U55</f>
        <v>0</v>
      </c>
      <c r="K36" s="38">
        <f>+'New Year-Full Year'!V55</f>
        <v>104.15</v>
      </c>
      <c r="L36" s="4">
        <f t="shared" si="9"/>
        <v>-1</v>
      </c>
    </row>
    <row r="37" spans="1:12" s="2" customFormat="1">
      <c r="A37" s="43">
        <v>36</v>
      </c>
      <c r="B37" s="37" t="str">
        <f>+'New Year-Full Year'!B56</f>
        <v>Total Parish Ed</v>
      </c>
      <c r="C37" s="37"/>
      <c r="D37" s="37"/>
      <c r="E37" s="37">
        <f>SUM(E30:E36)</f>
        <v>4850</v>
      </c>
      <c r="F37" s="37">
        <f>SUM(F30:F36)</f>
        <v>5450</v>
      </c>
      <c r="G37" s="37">
        <f>SUM(G30:G36)</f>
        <v>-600</v>
      </c>
      <c r="H37" s="21">
        <f t="shared" si="8"/>
        <v>-0.11009174311926606</v>
      </c>
      <c r="J37" s="37">
        <f>SUM(J30:J36)</f>
        <v>775.6</v>
      </c>
      <c r="K37" s="37">
        <f>SUM(K30:K36)</f>
        <v>1811.0600000000002</v>
      </c>
      <c r="L37" s="21">
        <f t="shared" si="9"/>
        <v>-0.57174251543295085</v>
      </c>
    </row>
    <row r="38" spans="1:12" ht="6" customHeight="1">
      <c r="A38" s="43">
        <v>37</v>
      </c>
      <c r="H38" s="39"/>
    </row>
    <row r="39" spans="1:12">
      <c r="A39" s="43">
        <v>40</v>
      </c>
      <c r="B39" s="2" t="str">
        <f>+'New Year-Full Year'!B58</f>
        <v>Worship</v>
      </c>
      <c r="H39" s="39"/>
    </row>
    <row r="40" spans="1:12">
      <c r="A40" s="43">
        <v>41</v>
      </c>
      <c r="C40" s="1" t="str">
        <f>+'New Year-Full Year'!C59</f>
        <v>Worship Supplies</v>
      </c>
      <c r="E40" s="38">
        <f>+'New Year-Full Year'!P59</f>
        <v>3500</v>
      </c>
      <c r="F40" s="38">
        <f>+'New Year-Full Year'!Q59</f>
        <v>4000</v>
      </c>
      <c r="G40" s="38">
        <f t="shared" ref="G40:G42" si="10">+E40-F40</f>
        <v>-500</v>
      </c>
      <c r="H40" s="4">
        <f>IF(F40=0,"NA",(+E40-F40)/F40)</f>
        <v>-0.125</v>
      </c>
      <c r="J40" s="38">
        <f>+'New Year-Full Year'!U59</f>
        <v>562.25</v>
      </c>
      <c r="K40" s="38">
        <f>+'New Year-Full Year'!V59</f>
        <v>1458.35</v>
      </c>
      <c r="L40" s="4">
        <f>IF(K40=0,"NA",(+J40-K40)/K40)</f>
        <v>-0.61446154901086847</v>
      </c>
    </row>
    <row r="41" spans="1:12">
      <c r="A41" s="43">
        <v>43</v>
      </c>
      <c r="C41" s="1" t="str">
        <f>+'New Year-Full Year'!C61</f>
        <v>Children's Services</v>
      </c>
      <c r="E41" s="38">
        <f>+'New Year-Full Year'!P61</f>
        <v>100</v>
      </c>
      <c r="F41" s="38">
        <f>+'New Year-Full Year'!Q61</f>
        <v>100</v>
      </c>
      <c r="G41" s="38">
        <f t="shared" si="10"/>
        <v>0</v>
      </c>
      <c r="H41" s="4">
        <f>IF(F41=0,"NA",(+E41-F41)/F41)</f>
        <v>0</v>
      </c>
      <c r="J41" s="38">
        <f>+'New Year-Full Year'!U61</f>
        <v>0</v>
      </c>
      <c r="K41" s="38">
        <f>+'New Year-Full Year'!V61</f>
        <v>41.65</v>
      </c>
      <c r="L41" s="4">
        <f>IF(K41=0,"NA",(+J41-K41)/K41)</f>
        <v>-1</v>
      </c>
    </row>
    <row r="42" spans="1:12">
      <c r="A42" s="43">
        <v>44</v>
      </c>
      <c r="C42" s="1" t="str">
        <f>+'New Year-Full Year'!C62</f>
        <v>Flowers</v>
      </c>
      <c r="E42" s="38">
        <f>+'New Year-Full Year'!P62</f>
        <v>200</v>
      </c>
      <c r="F42" s="38">
        <f>+'New Year-Full Year'!Q62</f>
        <v>200</v>
      </c>
      <c r="G42" s="38">
        <f t="shared" si="10"/>
        <v>0</v>
      </c>
      <c r="H42" s="4">
        <f>IF(F42=0,"NA",(+E42-F42)/F42)</f>
        <v>0</v>
      </c>
      <c r="J42" s="38">
        <f>+'New Year-Full Year'!U62</f>
        <v>97.5</v>
      </c>
      <c r="K42" s="38">
        <f>+'New Year-Full Year'!V62</f>
        <v>83.35</v>
      </c>
      <c r="L42" s="4">
        <f>IF(K42=0,"NA",(+J42-K42)/K42)</f>
        <v>0.16976604679064194</v>
      </c>
    </row>
    <row r="43" spans="1:12" s="2" customFormat="1">
      <c r="A43" s="43">
        <v>45</v>
      </c>
      <c r="B43" s="37" t="str">
        <f>+'New Year-Full Year'!B63</f>
        <v>Total Worship</v>
      </c>
      <c r="C43" s="37"/>
      <c r="D43" s="37"/>
      <c r="E43" s="37">
        <f>SUM(E40:E42)</f>
        <v>3800</v>
      </c>
      <c r="F43" s="37">
        <f>SUM(F40:F42)</f>
        <v>4300</v>
      </c>
      <c r="G43" s="37">
        <f>SUM(G40:G42)</f>
        <v>-500</v>
      </c>
      <c r="H43" s="21">
        <f>IF(F43=0,"NA",(+E43-F43)/F43)</f>
        <v>-0.11627906976744186</v>
      </c>
      <c r="J43" s="37">
        <f>SUM(J40:J42)</f>
        <v>659.75</v>
      </c>
      <c r="K43" s="37">
        <f>SUM(K40:K42)</f>
        <v>1583.35</v>
      </c>
      <c r="L43" s="21">
        <f>IF(K43=0,"NA",(+J43-K43)/K43)</f>
        <v>-0.58332017557709914</v>
      </c>
    </row>
    <row r="44" spans="1:12" ht="6.75" customHeight="1">
      <c r="A44" s="43">
        <v>46</v>
      </c>
      <c r="H44" s="39"/>
    </row>
    <row r="45" spans="1:12" s="2" customFormat="1">
      <c r="A45" s="43">
        <v>51</v>
      </c>
      <c r="B45" s="37" t="str">
        <f>+'New Year-Full Year'!B65</f>
        <v>Youth</v>
      </c>
      <c r="C45" s="37"/>
      <c r="D45" s="37"/>
      <c r="E45" s="37">
        <f>+'New Year-Full Year'!P65</f>
        <v>12800</v>
      </c>
      <c r="F45" s="37">
        <f>+'New Year-Full Year'!Q65</f>
        <v>12800</v>
      </c>
      <c r="G45" s="37">
        <f t="shared" ref="G45" si="11">+E45-F45</f>
        <v>0</v>
      </c>
      <c r="H45" s="21">
        <f>IF(F45=0,"NA",(+E45-F45)/F45)</f>
        <v>0</v>
      </c>
      <c r="J45" s="37">
        <f>+'New Year-Full Year'!U65</f>
        <v>1544.17</v>
      </c>
      <c r="K45" s="37">
        <f>+'New Year-Full Year'!V65</f>
        <v>5333.35</v>
      </c>
      <c r="L45" s="21">
        <f>IF(K45=0,"NA",(+J45-K45)/K45)</f>
        <v>-0.71046902978428195</v>
      </c>
    </row>
    <row r="46" spans="1:12" ht="6.75" customHeight="1">
      <c r="A46" s="43">
        <v>52</v>
      </c>
      <c r="H46" s="39"/>
    </row>
    <row r="47" spans="1:12">
      <c r="A47" s="43">
        <v>53</v>
      </c>
      <c r="B47" s="2" t="str">
        <f>+'New Year-Full Year'!B68</f>
        <v>Church Membership</v>
      </c>
      <c r="H47" s="39"/>
    </row>
    <row r="48" spans="1:12">
      <c r="A48" s="43">
        <v>54</v>
      </c>
      <c r="C48" s="1" t="str">
        <f>+'New Year-Full Year'!C69</f>
        <v>Church Membership Activities</v>
      </c>
      <c r="E48" s="38">
        <f>+'New Year-Full Year'!P69</f>
        <v>400</v>
      </c>
      <c r="F48" s="38">
        <f>+'New Year-Full Year'!Q69</f>
        <v>400</v>
      </c>
      <c r="G48" s="38">
        <f t="shared" ref="G48:G49" si="12">+E48-F48</f>
        <v>0</v>
      </c>
      <c r="H48" s="4">
        <f>IF(F48=0,"NA",(+E48-F48)/F48)</f>
        <v>0</v>
      </c>
      <c r="J48" s="38">
        <f>+'New Year-Full Year'!U69</f>
        <v>0</v>
      </c>
      <c r="K48" s="38">
        <f>+'New Year-Full Year'!V69</f>
        <v>166.65</v>
      </c>
      <c r="L48" s="4">
        <f>IF(K48=0,"NA",(+J48-K48)/K48)</f>
        <v>-1</v>
      </c>
    </row>
    <row r="49" spans="1:12">
      <c r="A49" s="43">
        <v>55</v>
      </c>
      <c r="C49" s="1" t="str">
        <f>+'New Year-Full Year'!C70</f>
        <v>Sunday Coffee</v>
      </c>
      <c r="E49" s="38">
        <f>+'New Year-Full Year'!P70</f>
        <v>150</v>
      </c>
      <c r="F49" s="38">
        <f>+'New Year-Full Year'!Q70</f>
        <v>150</v>
      </c>
      <c r="G49" s="38">
        <f t="shared" si="12"/>
        <v>0</v>
      </c>
      <c r="H49" s="4">
        <f>IF(F49=0,"NA",(+E49-F49)/F49)</f>
        <v>0</v>
      </c>
      <c r="J49" s="38">
        <f>+'New Year-Full Year'!U70</f>
        <v>25.7</v>
      </c>
      <c r="K49" s="38">
        <f>+'New Year-Full Year'!V70</f>
        <v>62.5</v>
      </c>
      <c r="L49" s="4">
        <f>IF(K49=0,"NA",(+J49-K49)/K49)</f>
        <v>-0.58879999999999999</v>
      </c>
    </row>
    <row r="50" spans="1:12" s="2" customFormat="1">
      <c r="A50" s="43">
        <v>56</v>
      </c>
      <c r="B50" s="37" t="str">
        <f>+'New Year-Full Year'!B71</f>
        <v>Total Church Membership</v>
      </c>
      <c r="C50" s="37"/>
      <c r="D50" s="37"/>
      <c r="E50" s="37">
        <f>SUM(E48:E49)</f>
        <v>550</v>
      </c>
      <c r="F50" s="37">
        <f>SUM(F48:F49)</f>
        <v>550</v>
      </c>
      <c r="G50" s="37">
        <f>SUM(G48:G49)</f>
        <v>0</v>
      </c>
      <c r="H50" s="21">
        <f>IF(F50=0,"NA",(+E50-F50)/F50)</f>
        <v>0</v>
      </c>
      <c r="J50" s="37">
        <f>SUM(J48:J49)</f>
        <v>25.7</v>
      </c>
      <c r="K50" s="37">
        <f>SUM(K48:K49)</f>
        <v>229.15</v>
      </c>
      <c r="L50" s="21">
        <f>IF(K50=0,"NA",(+J50-K50)/K50)</f>
        <v>-0.88784638882827849</v>
      </c>
    </row>
    <row r="51" spans="1:12" ht="5.25" customHeight="1">
      <c r="A51" s="43">
        <v>57</v>
      </c>
      <c r="H51" s="39"/>
    </row>
    <row r="52" spans="1:12">
      <c r="A52" s="43">
        <v>58</v>
      </c>
      <c r="B52" s="37" t="str">
        <f>+'New Year-Full Year'!B73</f>
        <v>Church &amp; Community</v>
      </c>
      <c r="C52" s="22"/>
      <c r="D52" s="22"/>
      <c r="E52" s="45">
        <f>+'New Year-Full Year'!P73</f>
        <v>200</v>
      </c>
      <c r="F52" s="45">
        <f>+'New Year-Full Year'!Q73</f>
        <v>200</v>
      </c>
      <c r="G52" s="37">
        <f t="shared" ref="G52" si="13">+E52-F52</f>
        <v>0</v>
      </c>
      <c r="H52" s="21">
        <f>IF(F52=0,"NA",(+E52-F52)/F52)</f>
        <v>0</v>
      </c>
      <c r="J52" s="45">
        <f>+'New Year-Full Year'!U73</f>
        <v>27.04</v>
      </c>
      <c r="K52" s="45">
        <f>+'New Year-Full Year'!V73</f>
        <v>83.35</v>
      </c>
      <c r="L52" s="21">
        <f>IF(K52=0,"NA",(+J52-K52)/K52)</f>
        <v>-0.67558488302339526</v>
      </c>
    </row>
    <row r="53" spans="1:12" ht="6" customHeight="1">
      <c r="A53" s="43">
        <v>59</v>
      </c>
      <c r="H53" s="39"/>
    </row>
    <row r="54" spans="1:12">
      <c r="A54" s="43">
        <v>60</v>
      </c>
      <c r="B54" s="2" t="str">
        <f>+'New Year-Full Year'!B75</f>
        <v>Misc Programs</v>
      </c>
      <c r="H54" s="39"/>
    </row>
    <row r="55" spans="1:12">
      <c r="A55" s="43">
        <v>61</v>
      </c>
      <c r="C55" s="1" t="str">
        <f>+'New Year-Full Year'!C76</f>
        <v>Stewardship</v>
      </c>
      <c r="E55" s="38">
        <f>+'New Year-Full Year'!P76</f>
        <v>200</v>
      </c>
      <c r="F55" s="38">
        <f>+'New Year-Full Year'!Q76</f>
        <v>200</v>
      </c>
      <c r="G55" s="38">
        <f t="shared" ref="G55:G60" si="14">+E55-F55</f>
        <v>0</v>
      </c>
      <c r="H55" s="4">
        <f t="shared" ref="H55:H61" si="15">IF(F55=0,"NA",(+E55-F55)/F55)</f>
        <v>0</v>
      </c>
      <c r="J55" s="38">
        <f>+'New Year-Full Year'!U76</f>
        <v>0</v>
      </c>
      <c r="K55" s="38">
        <f>+'New Year-Full Year'!V76</f>
        <v>0</v>
      </c>
      <c r="L55" s="4" t="str">
        <f t="shared" ref="L55:L61" si="16">IF(K55=0,"NA",(+J55-K55)/K55)</f>
        <v>NA</v>
      </c>
    </row>
    <row r="56" spans="1:12">
      <c r="A56" s="43">
        <v>62</v>
      </c>
      <c r="C56" s="1" t="str">
        <f>+'New Year-Full Year'!C77</f>
        <v>Envelopes, Giving</v>
      </c>
      <c r="E56" s="38">
        <f>+'New Year-Full Year'!P77</f>
        <v>700</v>
      </c>
      <c r="F56" s="38">
        <f>+'New Year-Full Year'!Q77</f>
        <v>800</v>
      </c>
      <c r="G56" s="38">
        <f t="shared" si="14"/>
        <v>-100</v>
      </c>
      <c r="H56" s="4">
        <f t="shared" si="15"/>
        <v>-0.125</v>
      </c>
      <c r="J56" s="38">
        <f>+'New Year-Full Year'!U77</f>
        <v>0</v>
      </c>
      <c r="K56" s="38">
        <f>+'New Year-Full Year'!V77</f>
        <v>0</v>
      </c>
      <c r="L56" s="4" t="str">
        <f t="shared" si="16"/>
        <v>NA</v>
      </c>
    </row>
    <row r="57" spans="1:12">
      <c r="A57" s="43">
        <v>63</v>
      </c>
      <c r="C57" s="1" t="str">
        <f>+'New Year-Full Year'!C78</f>
        <v>Synod Assembly</v>
      </c>
      <c r="E57" s="38">
        <f>+'New Year-Full Year'!P78</f>
        <v>1000</v>
      </c>
      <c r="F57" s="38">
        <f>+'New Year-Full Year'!Q78</f>
        <v>1000</v>
      </c>
      <c r="G57" s="38">
        <f t="shared" si="14"/>
        <v>0</v>
      </c>
      <c r="H57" s="4">
        <f t="shared" si="15"/>
        <v>0</v>
      </c>
      <c r="J57" s="38">
        <f>+'New Year-Full Year'!U78</f>
        <v>72</v>
      </c>
      <c r="K57" s="38">
        <f>+'New Year-Full Year'!V78</f>
        <v>1000</v>
      </c>
      <c r="L57" s="4">
        <f t="shared" si="16"/>
        <v>-0.92800000000000005</v>
      </c>
    </row>
    <row r="58" spans="1:12">
      <c r="A58" s="43">
        <v>64</v>
      </c>
      <c r="C58" s="1" t="str">
        <f>+'New Year-Full Year'!C79</f>
        <v>Evangelism</v>
      </c>
      <c r="E58" s="38">
        <f>+'New Year-Full Year'!P79</f>
        <v>3000</v>
      </c>
      <c r="F58" s="38">
        <f>+'New Year-Full Year'!Q79</f>
        <v>3000</v>
      </c>
      <c r="G58" s="38">
        <f t="shared" si="14"/>
        <v>0</v>
      </c>
      <c r="H58" s="4">
        <f t="shared" si="15"/>
        <v>0</v>
      </c>
      <c r="J58" s="38">
        <f>+'New Year-Full Year'!U79</f>
        <v>0</v>
      </c>
      <c r="K58" s="38">
        <f>+'New Year-Full Year'!V79</f>
        <v>1250</v>
      </c>
      <c r="L58" s="4">
        <f t="shared" si="16"/>
        <v>-1</v>
      </c>
    </row>
    <row r="59" spans="1:12">
      <c r="C59" s="1" t="str">
        <f>+'New Year-Full Year'!C80</f>
        <v>Other Programs</v>
      </c>
      <c r="E59" s="38">
        <f>+'New Year-Full Year'!P80</f>
        <v>200</v>
      </c>
      <c r="F59" s="38">
        <f>+'New Year-Full Year'!Q80</f>
        <v>200</v>
      </c>
      <c r="G59" s="38">
        <f t="shared" si="14"/>
        <v>0</v>
      </c>
      <c r="H59" s="4">
        <f>IF(F59=0,"NA",(+E59-F59)/F59)</f>
        <v>0</v>
      </c>
      <c r="J59" s="38">
        <f>+'New Year-Full Year'!U80</f>
        <v>0</v>
      </c>
      <c r="K59" s="38">
        <f>+'New Year-Full Year'!V80</f>
        <v>83.35</v>
      </c>
      <c r="L59" s="4">
        <f>IF(K59=0,"NA",(+J59-K59)/K59)</f>
        <v>-1</v>
      </c>
    </row>
    <row r="60" spans="1:12">
      <c r="A60" s="43">
        <v>65</v>
      </c>
      <c r="C60" s="1" t="str">
        <f>+'New Year-Full Year'!C81</f>
        <v>Organ/Piano Maintenance</v>
      </c>
      <c r="E60" s="38">
        <f>+'New Year-Full Year'!P81</f>
        <v>1575</v>
      </c>
      <c r="F60" s="38">
        <f>+'New Year-Full Year'!Q81</f>
        <v>1575</v>
      </c>
      <c r="G60" s="38">
        <f t="shared" si="14"/>
        <v>0</v>
      </c>
      <c r="H60" s="4">
        <f t="shared" si="15"/>
        <v>0</v>
      </c>
      <c r="J60" s="38">
        <f>+'New Year-Full Year'!U81</f>
        <v>0</v>
      </c>
      <c r="K60" s="38">
        <f>+'New Year-Full Year'!V81</f>
        <v>656.25</v>
      </c>
      <c r="L60" s="4">
        <f t="shared" si="16"/>
        <v>-1</v>
      </c>
    </row>
    <row r="61" spans="1:12" s="2" customFormat="1">
      <c r="A61" s="43">
        <v>66</v>
      </c>
      <c r="B61" s="37" t="str">
        <f>+'New Year-Full Year'!B83</f>
        <v>Total Misc Programs</v>
      </c>
      <c r="C61" s="37"/>
      <c r="D61" s="37"/>
      <c r="E61" s="37">
        <f>SUM(E55:E60)</f>
        <v>6675</v>
      </c>
      <c r="F61" s="37">
        <f>SUM(F55:F60)</f>
        <v>6775</v>
      </c>
      <c r="G61" s="37">
        <f>SUM(G55:G60)</f>
        <v>-100</v>
      </c>
      <c r="H61" s="21">
        <f t="shared" si="15"/>
        <v>-1.4760147601476014E-2</v>
      </c>
      <c r="J61" s="37">
        <f>SUM(J55:J60)</f>
        <v>72</v>
      </c>
      <c r="K61" s="37">
        <f>SUM(K55:K60)</f>
        <v>2989.6</v>
      </c>
      <c r="L61" s="21">
        <f t="shared" si="16"/>
        <v>-0.97591651056997597</v>
      </c>
    </row>
    <row r="62" spans="1:12" ht="6" customHeight="1">
      <c r="A62" s="43">
        <v>67</v>
      </c>
      <c r="H62" s="39"/>
    </row>
    <row r="63" spans="1:12">
      <c r="A63" s="43">
        <v>68</v>
      </c>
      <c r="B63" s="2" t="str">
        <f>+'New Year-Full Year'!B85</f>
        <v>Office Expense</v>
      </c>
      <c r="H63" s="39"/>
    </row>
    <row r="64" spans="1:12">
      <c r="A64" s="43">
        <v>69</v>
      </c>
      <c r="C64" s="1" t="str">
        <f>+'New Year-Full Year'!C86</f>
        <v>Office Supplies</v>
      </c>
      <c r="E64" s="38">
        <f>+'New Year-Full Year'!P86</f>
        <v>3500</v>
      </c>
      <c r="F64" s="38">
        <f>+'New Year-Full Year'!Q86</f>
        <v>3500</v>
      </c>
      <c r="G64" s="38">
        <f t="shared" ref="G64:G69" si="17">+E64-F64</f>
        <v>0</v>
      </c>
      <c r="H64" s="4">
        <f t="shared" ref="H64:H71" si="18">IF(F64=0,"NA",(+E64-F64)/F64)</f>
        <v>0</v>
      </c>
      <c r="J64" s="38">
        <f>+'New Year-Full Year'!U86</f>
        <v>1578.93</v>
      </c>
      <c r="K64" s="38">
        <f>+'New Year-Full Year'!V86</f>
        <v>1458.35</v>
      </c>
      <c r="L64" s="4">
        <f t="shared" ref="L64:L71" si="19">IF(K64=0,"NA",(+J64-K64)/K64)</f>
        <v>8.2682483628758643E-2</v>
      </c>
    </row>
    <row r="65" spans="1:13">
      <c r="A65" s="43">
        <v>70</v>
      </c>
      <c r="C65" s="1" t="str">
        <f>+'New Year-Full Year'!C87</f>
        <v>Postage</v>
      </c>
      <c r="E65" s="38">
        <f>+'New Year-Full Year'!P87</f>
        <v>2250</v>
      </c>
      <c r="F65" s="38">
        <f>+'New Year-Full Year'!Q87</f>
        <v>3250</v>
      </c>
      <c r="G65" s="38">
        <f t="shared" si="17"/>
        <v>-1000</v>
      </c>
      <c r="H65" s="4">
        <f t="shared" si="18"/>
        <v>-0.30769230769230771</v>
      </c>
      <c r="J65" s="38">
        <f>+'New Year-Full Year'!U87</f>
        <v>1277</v>
      </c>
      <c r="K65" s="38">
        <f>+'New Year-Full Year'!V87</f>
        <v>937.5</v>
      </c>
      <c r="L65" s="4">
        <f t="shared" si="19"/>
        <v>0.36213333333333331</v>
      </c>
    </row>
    <row r="66" spans="1:13">
      <c r="A66" s="43">
        <v>73</v>
      </c>
      <c r="C66" s="1" t="str">
        <f>+'New Year-Full Year'!C88</f>
        <v>Office Equipment/Computer</v>
      </c>
      <c r="E66" s="38">
        <f>+'New Year-Full Year'!P88</f>
        <v>13000</v>
      </c>
      <c r="F66" s="38">
        <f>+'New Year-Full Year'!Q88</f>
        <v>13000</v>
      </c>
      <c r="G66" s="38">
        <f t="shared" si="17"/>
        <v>0</v>
      </c>
      <c r="H66" s="4">
        <f t="shared" si="18"/>
        <v>0</v>
      </c>
      <c r="J66" s="38">
        <f>+'New Year-Full Year'!U88</f>
        <v>8615.5400000000009</v>
      </c>
      <c r="K66" s="38">
        <f>+'New Year-Full Year'!V88</f>
        <v>5416.65</v>
      </c>
      <c r="L66" s="4">
        <f t="shared" si="19"/>
        <v>0.59056612481884585</v>
      </c>
    </row>
    <row r="67" spans="1:13">
      <c r="A67" s="43">
        <v>74</v>
      </c>
      <c r="C67" s="1" t="str">
        <f>+'New Year-Full Year'!C89</f>
        <v>Kitchen Supplies</v>
      </c>
      <c r="E67" s="38">
        <f>+'New Year-Full Year'!P89</f>
        <v>1200</v>
      </c>
      <c r="F67" s="38">
        <f>+'New Year-Full Year'!Q89</f>
        <v>1000</v>
      </c>
      <c r="G67" s="38">
        <f t="shared" si="17"/>
        <v>200</v>
      </c>
      <c r="H67" s="4">
        <f t="shared" si="18"/>
        <v>0.2</v>
      </c>
      <c r="J67" s="38">
        <f>+'New Year-Full Year'!U89</f>
        <v>543.27</v>
      </c>
      <c r="K67" s="38">
        <f>+'New Year-Full Year'!V89</f>
        <v>500</v>
      </c>
      <c r="L67" s="4">
        <f t="shared" si="19"/>
        <v>8.6539999999999964E-2</v>
      </c>
    </row>
    <row r="68" spans="1:13">
      <c r="A68" s="43">
        <v>75</v>
      </c>
      <c r="C68" s="1" t="str">
        <f>+'New Year-Full Year'!C90</f>
        <v>Bank Fees</v>
      </c>
      <c r="E68" s="38">
        <f>+'New Year-Full Year'!P90</f>
        <v>1700</v>
      </c>
      <c r="F68" s="38">
        <f>+'New Year-Full Year'!Q90</f>
        <v>1700</v>
      </c>
      <c r="G68" s="38">
        <f t="shared" si="17"/>
        <v>0</v>
      </c>
      <c r="H68" s="4">
        <f t="shared" si="18"/>
        <v>0</v>
      </c>
      <c r="J68" s="38">
        <f>+'New Year-Full Year'!U90</f>
        <v>659.17</v>
      </c>
      <c r="K68" s="38">
        <f>+'New Year-Full Year'!V90</f>
        <v>708.35</v>
      </c>
      <c r="L68" s="4">
        <f t="shared" si="19"/>
        <v>-6.942895461283273E-2</v>
      </c>
    </row>
    <row r="69" spans="1:13">
      <c r="A69" s="43">
        <v>76</v>
      </c>
      <c r="C69" s="1" t="str">
        <f>+'New Year-Full Year'!C91</f>
        <v>Professional Fees</v>
      </c>
      <c r="E69" s="38">
        <f>+'New Year-Full Year'!P91</f>
        <v>4500</v>
      </c>
      <c r="F69" s="38">
        <f>+'New Year-Full Year'!Q91</f>
        <v>0</v>
      </c>
      <c r="G69" s="38">
        <f t="shared" si="17"/>
        <v>4500</v>
      </c>
      <c r="H69" s="4" t="str">
        <f>IF(F69=0,"NA",(+E69-F69)/F69)</f>
        <v>NA</v>
      </c>
      <c r="J69" s="38">
        <f>+'New Year-Full Year'!U91</f>
        <v>0</v>
      </c>
      <c r="K69" s="38">
        <f>+'New Year-Full Year'!V91</f>
        <v>1875</v>
      </c>
      <c r="L69" s="4">
        <f>IF(K69=0,"NA",(+J69-K69)/K69)</f>
        <v>-1</v>
      </c>
    </row>
    <row r="70" spans="1:13" s="2" customFormat="1">
      <c r="A70" s="43">
        <v>76</v>
      </c>
      <c r="B70" s="37" t="str">
        <f>+'New Year-Full Year'!B92</f>
        <v>Total Office Expense</v>
      </c>
      <c r="C70" s="37"/>
      <c r="D70" s="37"/>
      <c r="E70" s="37">
        <f>SUM(E64:E69)</f>
        <v>26150</v>
      </c>
      <c r="F70" s="37">
        <f>SUM(F64:F69)</f>
        <v>22450</v>
      </c>
      <c r="G70" s="37">
        <f>SUM(G64:G69)</f>
        <v>3700</v>
      </c>
      <c r="H70" s="21">
        <f t="shared" si="18"/>
        <v>0.16481069042316257</v>
      </c>
      <c r="J70" s="37">
        <f>SUM(J64:J69)</f>
        <v>12673.910000000002</v>
      </c>
      <c r="K70" s="37">
        <f>SUM(K64:K69)</f>
        <v>10895.85</v>
      </c>
      <c r="L70" s="21">
        <f t="shared" si="19"/>
        <v>0.16318690143495013</v>
      </c>
    </row>
    <row r="71" spans="1:13">
      <c r="A71" s="43">
        <v>77</v>
      </c>
      <c r="B71" s="37" t="str">
        <f>+'New Year-Full Year'!B93</f>
        <v>TOTAL PROGRAMS</v>
      </c>
      <c r="C71" s="23"/>
      <c r="D71" s="23"/>
      <c r="E71" s="37">
        <f>+E37+E43+E45+E52+E61+E70+E50</f>
        <v>55025</v>
      </c>
      <c r="F71" s="37">
        <f>+F37+F43+F45+F52+F61+F70+F50</f>
        <v>52525</v>
      </c>
      <c r="G71" s="37">
        <f>+G37+G43+G45+G52+G61+G70+G50</f>
        <v>2500</v>
      </c>
      <c r="H71" s="21">
        <f t="shared" si="18"/>
        <v>4.7596382674916705E-2</v>
      </c>
      <c r="J71" s="37">
        <f>+J37+J43+J45+J52+J61+J70+J50</f>
        <v>15778.170000000002</v>
      </c>
      <c r="K71" s="37">
        <f>+K37+K43+K45+K52+K61+K70+K50</f>
        <v>22925.710000000003</v>
      </c>
      <c r="L71" s="21">
        <f t="shared" si="19"/>
        <v>-0.31176962458305546</v>
      </c>
    </row>
    <row r="72" spans="1:13" ht="8.25" customHeight="1">
      <c r="A72" s="43">
        <v>78</v>
      </c>
      <c r="H72" s="39"/>
    </row>
    <row r="73" spans="1:13" ht="18.5">
      <c r="A73" s="43">
        <v>79</v>
      </c>
      <c r="B73" s="7" t="s">
        <v>38</v>
      </c>
      <c r="H73" s="39"/>
    </row>
    <row r="74" spans="1:13" hidden="1">
      <c r="B74" s="2" t="s">
        <v>435</v>
      </c>
      <c r="H74" s="39"/>
    </row>
    <row r="75" spans="1:13" hidden="1">
      <c r="A75" s="43">
        <v>81</v>
      </c>
      <c r="C75" s="697" t="s">
        <v>436</v>
      </c>
      <c r="D75" s="697"/>
      <c r="E75" s="38">
        <f>+'New Year-Full Year'!P$97+'New Year-Full Year'!P$110+'New Year-Full Year'!P$125+'New Year-Full Year'!P$137+'New Year-Full Year'!P$150+SUM('New Year-Full Year'!P$153:P$155)+SUM('New Year-Full Year'!P$160:P$161)+'New Year-Full Year'!P$164-'New Year-Full Year'!P110-'New Year-Full Year'!P125-'New Year-Full Year'!P135</f>
        <v>212669</v>
      </c>
      <c r="F75" s="38">
        <f>+'New Year-Full Year'!Q$97+'New Year-Full Year'!Q$110+'New Year-Full Year'!Q$125+'New Year-Full Year'!Q$137+'New Year-Full Year'!Q$150+SUM('New Year-Full Year'!Q$153:Q$155)+SUM('New Year-Full Year'!Q$160:Q$161)+'New Year-Full Year'!Q$164-'New Year-Full Year'!Q110-'New Year-Full Year'!Q125-'New Year-Full Year'!Q135</f>
        <v>208511</v>
      </c>
      <c r="G75" s="38"/>
      <c r="H75" s="4">
        <f>IF(F75=0,"NA",(+E75-F75)/F75)</f>
        <v>1.9941393979214527E-2</v>
      </c>
      <c r="J75" s="38">
        <f>+'New Year-Full Year'!U$97+'New Year-Full Year'!U$125+'New Year-Full Year'!U$137+'New Year-Full Year'!U$150+SUM('New Year-Full Year'!U$153:U$155)+SUM('New Year-Full Year'!U$160:U$161)+'New Year-Full Year'!U$164</f>
        <v>105965.21</v>
      </c>
      <c r="K75" s="38">
        <f>+'New Year-Full Year'!V$97+'New Year-Full Year'!V$125+'New Year-Full Year'!V$137+'New Year-Full Year'!V$150+SUM('New Year-Full Year'!V$153:V$155)+SUM('New Year-Full Year'!V$160:V$161)+'New Year-Full Year'!V$164</f>
        <v>117955.8</v>
      </c>
      <c r="L75" s="4">
        <f>IF(K75=0,"NA",(+J75-K75)/K75)</f>
        <v>-0.10165324638551047</v>
      </c>
    </row>
    <row r="76" spans="1:13" hidden="1">
      <c r="A76" s="43">
        <v>83</v>
      </c>
      <c r="C76" s="1" t="s">
        <v>101</v>
      </c>
      <c r="E76" s="38">
        <f>SUM('New Year-Full Year'!P98:P106)+SUM('New Year-Full Year'!P111:P121)+SUM('New Year-Full Year'!P126:P130)+'New Year-Full Year'!P158+'New Year-Full Year'!P159+'New Year-Full Year'!P162+'New Year-Full Year'!P163-SUM('New Year-Full Year'!P111:P121)-SUM('New Year-Full Year'!P126:P130)-ROUND(('New Year-Full Year'!P125+'New Year-Full Year'!P135)*0.0765,0)</f>
        <v>40795</v>
      </c>
      <c r="F76" s="38">
        <f>SUM('New Year-Full Year'!Q98:Q106)+SUM('New Year-Full Year'!Q111:Q121)+SUM('New Year-Full Year'!Q126:Q130)+'New Year-Full Year'!Q158+'New Year-Full Year'!Q159+'New Year-Full Year'!Q162+'New Year-Full Year'!Q163-SUM('New Year-Full Year'!Q111:Q121)-SUM('New Year-Full Year'!Q126:Q130)-ROUND(('New Year-Full Year'!Q125+'New Year-Full Year'!Q135)*0.0765,0)</f>
        <v>41715.380499999999</v>
      </c>
      <c r="G76" s="38"/>
      <c r="H76" s="4">
        <f>IF(F76=0,"NA",(+E76-F76)/F76)</f>
        <v>-2.2063337046631982E-2</v>
      </c>
      <c r="J76" s="38">
        <f>SUM('New Year-Full Year'!U98:U106)+SUM('New Year-Full Year'!U111:U121)+SUM('New Year-Full Year'!U126:U130)+'New Year-Full Year'!U158+'New Year-Full Year'!U159+'New Year-Full Year'!U162+'New Year-Full Year'!U163</f>
        <v>16341.98</v>
      </c>
      <c r="K76" s="38">
        <f>SUM('New Year-Full Year'!V98:V106)+SUM('New Year-Full Year'!V111:V121)+SUM('New Year-Full Year'!V126:V130)+'New Year-Full Year'!V158+'New Year-Full Year'!V159+'New Year-Full Year'!V162+'New Year-Full Year'!V163</f>
        <v>17414</v>
      </c>
      <c r="L76" s="4">
        <f>IF(K76=0,"NA",(+J76-K76)/K76)</f>
        <v>-6.1560813138853823E-2</v>
      </c>
      <c r="M76" s="335"/>
    </row>
    <row r="77" spans="1:13" hidden="1">
      <c r="B77" s="2" t="s">
        <v>437</v>
      </c>
      <c r="D77" s="2" t="s">
        <v>438</v>
      </c>
      <c r="E77" s="38"/>
      <c r="F77" s="38"/>
      <c r="G77" s="38"/>
      <c r="H77" s="4"/>
      <c r="J77" s="38"/>
      <c r="K77" s="38"/>
      <c r="L77" s="4"/>
      <c r="M77" s="335"/>
    </row>
    <row r="78" spans="1:13" hidden="1">
      <c r="C78" s="697" t="s">
        <v>441</v>
      </c>
      <c r="D78" s="697"/>
      <c r="E78" s="38">
        <f>+'New Year-Full Year'!P122+'New Year-Full Year'!P131+'New Year-Full Year'!P135+ROUND(('New Year-Full Year'!P125+'New Year-Full Year'!P135)*0.0765,0)</f>
        <v>78155</v>
      </c>
      <c r="F78" s="38">
        <f>+'New Year-Full Year'!Q122+'New Year-Full Year'!Q131+'New Year-Full Year'!Q135+ROUND(('New Year-Full Year'!Q125+'New Year-Full Year'!Q135)*0.0765,0)</f>
        <v>75922</v>
      </c>
      <c r="G78" s="38"/>
      <c r="H78" s="4">
        <f>IF(F78=0,"NA",(+E78-F78)/F78)</f>
        <v>2.9411764705882353E-2</v>
      </c>
      <c r="J78" s="38">
        <f>+'New Year-Full Year'!U$97+'New Year-Full Year'!U$125+'New Year-Full Year'!U$137+'New Year-Full Year'!U$150+SUM('New Year-Full Year'!U$153:U$155)+SUM('New Year-Full Year'!U$160:U$161)+'New Year-Full Year'!U$164</f>
        <v>105965.21</v>
      </c>
      <c r="K78" s="38">
        <f>+'New Year-Full Year'!V$97+'New Year-Full Year'!V$125+'New Year-Full Year'!V$137+'New Year-Full Year'!V$150+SUM('New Year-Full Year'!V$153:V$155)+SUM('New Year-Full Year'!V$160:V$161)+'New Year-Full Year'!V$164</f>
        <v>117955.8</v>
      </c>
      <c r="L78" s="4">
        <f>IF(K78=0,"NA",(+J78-K78)/K78)</f>
        <v>-0.10165324638551047</v>
      </c>
      <c r="M78" s="335"/>
    </row>
    <row r="79" spans="1:13" s="2" customFormat="1">
      <c r="A79" s="43">
        <v>86</v>
      </c>
      <c r="B79" s="24" t="s">
        <v>442</v>
      </c>
      <c r="C79" s="24"/>
      <c r="D79" s="24"/>
      <c r="E79" s="24">
        <f>SUM(E75:E78)</f>
        <v>331619</v>
      </c>
      <c r="F79" s="24">
        <f>SUM(F75:F78)</f>
        <v>326148.38049999997</v>
      </c>
      <c r="G79" s="24">
        <f t="shared" ref="G79" si="20">+E79-F79</f>
        <v>5470.6195000000298</v>
      </c>
      <c r="H79" s="25">
        <f>IF(F79=0,"NA",(+E79-F79)/F79)</f>
        <v>1.6773406912563314E-2</v>
      </c>
      <c r="J79" s="24">
        <f>SUM(J75:J76)</f>
        <v>122307.19</v>
      </c>
      <c r="K79" s="24">
        <f>SUM(K75:K76)</f>
        <v>135369.79999999999</v>
      </c>
      <c r="L79" s="25">
        <f>IF(K79=0,"NA",(+J79-K79)/K79)</f>
        <v>-9.6495747205063362E-2</v>
      </c>
      <c r="M79" s="336"/>
    </row>
    <row r="80" spans="1:13" ht="8.25" customHeight="1">
      <c r="A80" s="43">
        <v>129</v>
      </c>
      <c r="H80" s="39"/>
    </row>
    <row r="81" spans="1:12" ht="18.5">
      <c r="A81" s="43">
        <v>130</v>
      </c>
      <c r="B81" s="7" t="str">
        <f>+'New Year-Full Year'!B168</f>
        <v>Facilities</v>
      </c>
      <c r="H81" s="39"/>
    </row>
    <row r="82" spans="1:12">
      <c r="A82" s="43">
        <v>131</v>
      </c>
      <c r="B82" s="2" t="str">
        <f>+'New Year-Full Year'!B169</f>
        <v>Utilities</v>
      </c>
      <c r="H82" s="39"/>
    </row>
    <row r="83" spans="1:12">
      <c r="A83" s="43">
        <v>132</v>
      </c>
      <c r="C83" s="1" t="str">
        <f>+'New Year-Full Year'!C170</f>
        <v>Electric</v>
      </c>
      <c r="E83" s="38">
        <f>+'New Year-Full Year'!P170</f>
        <v>12000</v>
      </c>
      <c r="F83" s="38">
        <f>+'New Year-Full Year'!Q170</f>
        <v>10500</v>
      </c>
      <c r="G83" s="38">
        <f t="shared" ref="G83:G89" si="21">+E83-F83</f>
        <v>1500</v>
      </c>
      <c r="H83" s="4">
        <f t="shared" ref="H83:H90" si="22">IF(F83=0,"NA",(+E83-F83)/F83)</f>
        <v>0.14285714285714285</v>
      </c>
      <c r="J83" s="38">
        <f>+'New Year-Full Year'!U170</f>
        <v>4710</v>
      </c>
      <c r="K83" s="38">
        <f>+'New Year-Full Year'!V170</f>
        <v>5000</v>
      </c>
      <c r="L83" s="4">
        <f t="shared" ref="L83:L90" si="23">IF(K83=0,"NA",(+J83-K83)/K83)</f>
        <v>-5.8000000000000003E-2</v>
      </c>
    </row>
    <row r="84" spans="1:12">
      <c r="A84" s="43">
        <v>133</v>
      </c>
      <c r="C84" s="1" t="str">
        <f>+'New Year-Full Year'!C171</f>
        <v>Gas</v>
      </c>
      <c r="E84" s="38">
        <f>+'New Year-Full Year'!P171</f>
        <v>10000</v>
      </c>
      <c r="F84" s="38">
        <f>+'New Year-Full Year'!Q171</f>
        <v>8160</v>
      </c>
      <c r="G84" s="38">
        <f t="shared" si="21"/>
        <v>1840</v>
      </c>
      <c r="H84" s="4">
        <f t="shared" si="22"/>
        <v>0.22549019607843138</v>
      </c>
      <c r="J84" s="38">
        <f>+'New Year-Full Year'!U171</f>
        <v>3500</v>
      </c>
      <c r="K84" s="38">
        <f>+'New Year-Full Year'!V171</f>
        <v>4166.6499999999996</v>
      </c>
      <c r="L84" s="4">
        <f t="shared" si="23"/>
        <v>-0.15999663998655989</v>
      </c>
    </row>
    <row r="85" spans="1:12">
      <c r="A85" s="43">
        <v>134</v>
      </c>
      <c r="C85" s="1" t="str">
        <f>+'New Year-Full Year'!C172</f>
        <v>Telephone</v>
      </c>
      <c r="E85" s="38">
        <f>+'New Year-Full Year'!P172</f>
        <v>4400</v>
      </c>
      <c r="F85" s="38">
        <f>+'New Year-Full Year'!Q172</f>
        <v>4500</v>
      </c>
      <c r="G85" s="38">
        <f t="shared" si="21"/>
        <v>-100</v>
      </c>
      <c r="H85" s="4">
        <f t="shared" si="22"/>
        <v>-2.2222222222222223E-2</v>
      </c>
      <c r="J85" s="38">
        <f>+'New Year-Full Year'!U172</f>
        <v>1955.92</v>
      </c>
      <c r="K85" s="38">
        <f>+'New Year-Full Year'!V172</f>
        <v>1833.35</v>
      </c>
      <c r="L85" s="4">
        <f t="shared" si="23"/>
        <v>6.6855755856765037E-2</v>
      </c>
    </row>
    <row r="86" spans="1:12">
      <c r="A86" s="43">
        <v>135</v>
      </c>
      <c r="C86" s="1" t="str">
        <f>+'New Year-Full Year'!C174</f>
        <v>Water</v>
      </c>
      <c r="E86" s="38">
        <f>+'New Year-Full Year'!P174</f>
        <v>1000</v>
      </c>
      <c r="F86" s="38">
        <f>+'New Year-Full Year'!Q174</f>
        <v>816</v>
      </c>
      <c r="G86" s="38">
        <f t="shared" si="21"/>
        <v>184</v>
      </c>
      <c r="H86" s="4">
        <f t="shared" si="22"/>
        <v>0.22549019607843138</v>
      </c>
      <c r="J86" s="38">
        <f>+'New Year-Full Year'!U174</f>
        <v>464</v>
      </c>
      <c r="K86" s="38">
        <f>+'New Year-Full Year'!V174</f>
        <v>500</v>
      </c>
      <c r="L86" s="4">
        <f t="shared" si="23"/>
        <v>-7.1999999999999995E-2</v>
      </c>
    </row>
    <row r="87" spans="1:12">
      <c r="A87" s="43">
        <v>136</v>
      </c>
      <c r="C87" s="1" t="str">
        <f>+'New Year-Full Year'!C175</f>
        <v>Security</v>
      </c>
      <c r="E87" s="38">
        <f>+'New Year-Full Year'!P175</f>
        <v>350</v>
      </c>
      <c r="F87" s="38">
        <f>+'New Year-Full Year'!Q175</f>
        <v>300</v>
      </c>
      <c r="G87" s="38">
        <f t="shared" si="21"/>
        <v>50</v>
      </c>
      <c r="H87" s="4">
        <f t="shared" si="22"/>
        <v>0.16666666666666666</v>
      </c>
      <c r="J87" s="38">
        <f>+'New Year-Full Year'!U175</f>
        <v>0</v>
      </c>
      <c r="K87" s="38">
        <f>+'New Year-Full Year'!V175</f>
        <v>145.85</v>
      </c>
      <c r="L87" s="4">
        <f t="shared" si="23"/>
        <v>-1</v>
      </c>
    </row>
    <row r="88" spans="1:12">
      <c r="A88" s="43">
        <v>137</v>
      </c>
      <c r="C88" s="1" t="str">
        <f>+'New Year-Full Year'!C176</f>
        <v>Cell Phone</v>
      </c>
      <c r="E88" s="38">
        <f>+'New Year-Full Year'!P176</f>
        <v>250</v>
      </c>
      <c r="F88" s="38">
        <f>+'New Year-Full Year'!Q176</f>
        <v>600</v>
      </c>
      <c r="G88" s="38">
        <f t="shared" si="21"/>
        <v>-350</v>
      </c>
      <c r="H88" s="4">
        <f t="shared" si="22"/>
        <v>-0.58333333333333337</v>
      </c>
      <c r="J88" s="38">
        <f>+'New Year-Full Year'!U176</f>
        <v>335.18</v>
      </c>
      <c r="K88" s="38">
        <f>+'New Year-Full Year'!V176</f>
        <v>208.35</v>
      </c>
      <c r="L88" s="4">
        <f t="shared" si="23"/>
        <v>0.60873530117590602</v>
      </c>
    </row>
    <row r="89" spans="1:12">
      <c r="A89" s="43">
        <v>138</v>
      </c>
      <c r="C89" s="1" t="str">
        <f>+'New Year-Full Year'!C177</f>
        <v>City Assessment</v>
      </c>
      <c r="E89" s="38">
        <f>+'New Year-Full Year'!P177</f>
        <v>4800</v>
      </c>
      <c r="F89" s="38">
        <f>+'New Year-Full Year'!Q177</f>
        <v>4500</v>
      </c>
      <c r="G89" s="38">
        <f t="shared" si="21"/>
        <v>300</v>
      </c>
      <c r="H89" s="4">
        <f t="shared" si="22"/>
        <v>6.6666666666666666E-2</v>
      </c>
      <c r="J89" s="38">
        <f>+'New Year-Full Year'!U177</f>
        <v>2835.14</v>
      </c>
      <c r="K89" s="38">
        <f>+'New Year-Full Year'!V177</f>
        <v>2400</v>
      </c>
      <c r="L89" s="4">
        <f t="shared" si="23"/>
        <v>0.18130833333333329</v>
      </c>
    </row>
    <row r="90" spans="1:12" s="2" customFormat="1">
      <c r="A90" s="43">
        <v>139</v>
      </c>
      <c r="B90" s="27" t="str">
        <f>+'New Year-Full Year'!B178</f>
        <v>Total Utilities</v>
      </c>
      <c r="C90" s="27"/>
      <c r="D90" s="27"/>
      <c r="E90" s="27">
        <f>SUM(E83:E89)</f>
        <v>32800</v>
      </c>
      <c r="F90" s="27">
        <f>SUM(F83:F89)</f>
        <v>29376</v>
      </c>
      <c r="G90" s="27">
        <f>SUM(G83:G89)</f>
        <v>3424</v>
      </c>
      <c r="H90" s="28">
        <f t="shared" si="22"/>
        <v>0.11655773420479303</v>
      </c>
      <c r="J90" s="27">
        <f>SUM(J83:J89)</f>
        <v>13800.24</v>
      </c>
      <c r="K90" s="27">
        <f>SUM(K83:K89)</f>
        <v>14254.2</v>
      </c>
      <c r="L90" s="28">
        <f t="shared" si="23"/>
        <v>-3.1847455486803955E-2</v>
      </c>
    </row>
    <row r="91" spans="1:12" s="2" customFormat="1" ht="6.75" customHeight="1">
      <c r="A91" s="43">
        <v>140</v>
      </c>
      <c r="B91" s="15"/>
      <c r="C91" s="15"/>
      <c r="D91" s="15"/>
      <c r="E91" s="15"/>
      <c r="F91" s="15"/>
      <c r="G91" s="15"/>
      <c r="H91" s="18"/>
      <c r="J91" s="15"/>
      <c r="K91" s="15"/>
      <c r="L91" s="18"/>
    </row>
    <row r="92" spans="1:12">
      <c r="A92" s="43">
        <v>141</v>
      </c>
      <c r="B92" s="2" t="str">
        <f>+'New Year-Full Year'!B180</f>
        <v>Church Maintenance</v>
      </c>
      <c r="H92" s="39"/>
    </row>
    <row r="93" spans="1:12">
      <c r="A93" s="43">
        <v>142</v>
      </c>
      <c r="C93" s="1" t="str">
        <f>+'New Year-Full Year'!C181</f>
        <v>Insurance</v>
      </c>
      <c r="E93" s="38">
        <f>+'New Year-Full Year'!P181</f>
        <v>15500</v>
      </c>
      <c r="F93" s="38">
        <f>+'New Year-Full Year'!Q181</f>
        <v>16900</v>
      </c>
      <c r="G93" s="38">
        <f t="shared" ref="G93:G97" si="24">+E93-F93</f>
        <v>-1400</v>
      </c>
      <c r="H93" s="4">
        <f t="shared" ref="H93:H100" si="25">IF(F93=0,"NA",(+E93-F93)/F93)</f>
        <v>-8.2840236686390539E-2</v>
      </c>
      <c r="J93" s="38">
        <f>+'New Year-Full Year'!U181</f>
        <v>2893</v>
      </c>
      <c r="K93" s="38">
        <f>+'New Year-Full Year'!V181</f>
        <v>3875</v>
      </c>
      <c r="L93" s="4">
        <f t="shared" ref="L93:L100" si="26">IF(K93=0,"NA",(+J93-K93)/K93)</f>
        <v>-0.2534193548387097</v>
      </c>
    </row>
    <row r="94" spans="1:12">
      <c r="A94" s="43">
        <v>143</v>
      </c>
      <c r="C94" s="1" t="str">
        <f>+'New Year-Full Year'!C182</f>
        <v>Snow Removal</v>
      </c>
      <c r="E94" s="38">
        <f>+'New Year-Full Year'!P182</f>
        <v>5000</v>
      </c>
      <c r="F94" s="38">
        <f>+'New Year-Full Year'!Q182</f>
        <v>4500</v>
      </c>
      <c r="G94" s="38">
        <f t="shared" si="24"/>
        <v>500</v>
      </c>
      <c r="H94" s="4">
        <f t="shared" si="25"/>
        <v>0.1111111111111111</v>
      </c>
      <c r="J94" s="38">
        <f>+'New Year-Full Year'!U182</f>
        <v>3506.8</v>
      </c>
      <c r="K94" s="38">
        <f>+'New Year-Full Year'!V182</f>
        <v>3333.32</v>
      </c>
      <c r="L94" s="4">
        <f t="shared" si="26"/>
        <v>5.204420817683271E-2</v>
      </c>
    </row>
    <row r="95" spans="1:12">
      <c r="A95" s="43">
        <v>144</v>
      </c>
      <c r="C95" s="1" t="str">
        <f>+'New Year-Full Year'!C183</f>
        <v>Maint.  Supplies</v>
      </c>
      <c r="E95" s="38">
        <f>+'New Year-Full Year'!P183</f>
        <v>4500</v>
      </c>
      <c r="F95" s="38">
        <f>+'New Year-Full Year'!Q183</f>
        <v>4000</v>
      </c>
      <c r="G95" s="38">
        <f t="shared" si="24"/>
        <v>500</v>
      </c>
      <c r="H95" s="4">
        <f t="shared" si="25"/>
        <v>0.125</v>
      </c>
      <c r="J95" s="38">
        <f>+'New Year-Full Year'!U183</f>
        <v>5513.7</v>
      </c>
      <c r="K95" s="38">
        <f>+'New Year-Full Year'!V183</f>
        <v>1875</v>
      </c>
      <c r="L95" s="4">
        <f t="shared" si="26"/>
        <v>1.9406399999999999</v>
      </c>
    </row>
    <row r="96" spans="1:12" ht="15" customHeight="1">
      <c r="A96" s="43">
        <v>145</v>
      </c>
      <c r="C96" s="1" t="str">
        <f>+'New Year-Full Year'!C184</f>
        <v>Maintenance Contracts</v>
      </c>
      <c r="D96" s="77"/>
      <c r="E96" s="38">
        <f>+'New Year-Full Year'!P184</f>
        <v>6000</v>
      </c>
      <c r="F96" s="38">
        <f>+'New Year-Full Year'!Q184</f>
        <v>8000</v>
      </c>
      <c r="G96" s="38">
        <f t="shared" si="24"/>
        <v>-2000</v>
      </c>
      <c r="H96" s="4">
        <f t="shared" si="25"/>
        <v>-0.25</v>
      </c>
      <c r="J96" s="38">
        <f>+'New Year-Full Year'!U184</f>
        <v>2614.41</v>
      </c>
      <c r="K96" s="38">
        <f>+'New Year-Full Year'!V184</f>
        <v>2500</v>
      </c>
      <c r="L96" s="4">
        <f t="shared" si="26"/>
        <v>4.5763999999999944E-2</v>
      </c>
    </row>
    <row r="97" spans="1:12">
      <c r="A97" s="43">
        <v>146</v>
      </c>
      <c r="C97" s="1" t="str">
        <f>+'New Year-Full Year'!C186</f>
        <v>Building Repairs</v>
      </c>
      <c r="E97" s="38">
        <f>+'New Year-Full Year'!P186</f>
        <v>10000</v>
      </c>
      <c r="F97" s="38">
        <f>+'New Year-Full Year'!Q186</f>
        <v>8000</v>
      </c>
      <c r="G97" s="38">
        <f t="shared" si="24"/>
        <v>2000</v>
      </c>
      <c r="H97" s="4">
        <f t="shared" si="25"/>
        <v>0.25</v>
      </c>
      <c r="J97" s="38">
        <f>+'New Year-Full Year'!U186</f>
        <v>3143.5</v>
      </c>
      <c r="K97" s="38">
        <f>+'New Year-Full Year'!V186</f>
        <v>4166.6499999999996</v>
      </c>
      <c r="L97" s="4">
        <f t="shared" si="26"/>
        <v>-0.24555698222792885</v>
      </c>
    </row>
    <row r="98" spans="1:12" hidden="1">
      <c r="A98" s="43">
        <v>149</v>
      </c>
      <c r="C98" s="1" t="str">
        <f>+'New Year-Full Year'!C187</f>
        <v>Interest-Line of Credit</v>
      </c>
      <c r="E98" s="38">
        <f>+'New Year-Full Year'!P187</f>
        <v>0</v>
      </c>
      <c r="F98" s="38">
        <f>+'New Year-Full Year'!Q187</f>
        <v>0</v>
      </c>
      <c r="G98" s="38"/>
      <c r="H98" s="4" t="str">
        <f t="shared" si="25"/>
        <v>NA</v>
      </c>
      <c r="J98" s="38">
        <f>+'New Year-Full Year'!U187</f>
        <v>0</v>
      </c>
      <c r="K98" s="38">
        <f>+'New Year-Full Year'!V187</f>
        <v>0</v>
      </c>
      <c r="L98" s="4" t="str">
        <f t="shared" si="26"/>
        <v>NA</v>
      </c>
    </row>
    <row r="99" spans="1:12" s="2" customFormat="1">
      <c r="A99" s="43">
        <v>150</v>
      </c>
      <c r="B99" s="27" t="str">
        <f>+'New Year-Full Year'!B188</f>
        <v>Total Church Maintenance</v>
      </c>
      <c r="C99" s="27"/>
      <c r="D99" s="27"/>
      <c r="E99" s="27">
        <f>SUM(E93:E98)</f>
        <v>41000</v>
      </c>
      <c r="F99" s="27">
        <f>SUM(F93:F98)</f>
        <v>41400</v>
      </c>
      <c r="G99" s="27">
        <f>SUM(G93:G98)</f>
        <v>-400</v>
      </c>
      <c r="H99" s="28">
        <f t="shared" si="25"/>
        <v>-9.6618357487922701E-3</v>
      </c>
      <c r="J99" s="27">
        <f>SUM(J93:J98)</f>
        <v>17671.41</v>
      </c>
      <c r="K99" s="27">
        <f>SUM(K93:K98)</f>
        <v>15749.97</v>
      </c>
      <c r="L99" s="28">
        <f t="shared" si="26"/>
        <v>0.12199642285032927</v>
      </c>
    </row>
    <row r="100" spans="1:12">
      <c r="A100" s="43">
        <v>151</v>
      </c>
      <c r="B100" s="27" t="str">
        <f>+'New Year-Full Year'!B189</f>
        <v>TOTAL FACILITIES</v>
      </c>
      <c r="C100" s="27"/>
      <c r="D100" s="27"/>
      <c r="E100" s="27">
        <f>+E90+E99</f>
        <v>73800</v>
      </c>
      <c r="F100" s="27">
        <f>+F90+F99</f>
        <v>70776</v>
      </c>
      <c r="G100" s="27">
        <f>+G90+G99</f>
        <v>3024</v>
      </c>
      <c r="H100" s="28">
        <f t="shared" si="25"/>
        <v>4.2726347914547304E-2</v>
      </c>
      <c r="J100" s="27">
        <f>+J90+J99</f>
        <v>31471.65</v>
      </c>
      <c r="K100" s="27">
        <f>+K90+K99</f>
        <v>30004.17</v>
      </c>
      <c r="L100" s="28">
        <f t="shared" si="26"/>
        <v>4.8909201620974792E-2</v>
      </c>
    </row>
    <row r="101" spans="1:12" ht="4.5" customHeight="1">
      <c r="A101" s="43">
        <v>152</v>
      </c>
      <c r="H101" s="39"/>
    </row>
    <row r="102" spans="1:12" ht="18.5">
      <c r="A102" s="43">
        <v>153</v>
      </c>
      <c r="B102" s="7" t="str">
        <f>+'New Year-Full Year'!B191</f>
        <v>Disbursements</v>
      </c>
      <c r="H102" s="39"/>
    </row>
    <row r="103" spans="1:12">
      <c r="A103" s="43">
        <v>154</v>
      </c>
      <c r="B103" s="2" t="str">
        <f>+'New Year-Full Year'!B192</f>
        <v>Restricted Funds</v>
      </c>
      <c r="H103" s="39"/>
    </row>
    <row r="104" spans="1:12">
      <c r="A104" s="43">
        <v>155</v>
      </c>
      <c r="C104" s="1" t="str">
        <f>'New Year-Full Year'!C193</f>
        <v>Operating Fund Reserve</v>
      </c>
      <c r="E104" s="38">
        <f>SUM('New Year-Full Year'!P193:P193)</f>
        <v>0</v>
      </c>
      <c r="F104" s="38">
        <f>SUM('New Year-Full Year'!Q193:Q193)</f>
        <v>0</v>
      </c>
      <c r="G104" s="38">
        <f t="shared" ref="G104:G108" si="27">+E104-F104</f>
        <v>0</v>
      </c>
      <c r="H104" s="4" t="str">
        <f t="shared" ref="H104:H110" si="28">IF(F104=0,"NA",(+E104-F104)/F104)</f>
        <v>NA</v>
      </c>
      <c r="J104" s="38">
        <f>SUM('New Year-Full Year'!U193:U193)</f>
        <v>0</v>
      </c>
      <c r="K104" s="38">
        <f>SUM('New Year-Full Year'!V193:V193)</f>
        <v>0</v>
      </c>
      <c r="L104" s="4" t="str">
        <f t="shared" ref="L104:L110" si="29">IF(K104=0,"NA",(+J104-K104)/K104)</f>
        <v>NA</v>
      </c>
    </row>
    <row r="105" spans="1:12" hidden="1">
      <c r="C105" s="1" t="str">
        <f>'New Year-Full Year'!C194</f>
        <v>Pastor Transition</v>
      </c>
      <c r="E105" s="38">
        <f>SUM('New Year-Full Year'!P194:P194)</f>
        <v>0</v>
      </c>
      <c r="F105" s="38">
        <f>SUM('New Year-Full Year'!Q194:Q194)</f>
        <v>0</v>
      </c>
      <c r="G105" s="38">
        <f t="shared" si="27"/>
        <v>0</v>
      </c>
      <c r="H105" s="4" t="str">
        <f>IF(F105=0,"NA",(+E105-F105)/F105)</f>
        <v>NA</v>
      </c>
      <c r="J105" s="38">
        <f>SUM('New Year-Full Year'!U194:U194)</f>
        <v>0</v>
      </c>
      <c r="K105" s="38">
        <f>SUM('New Year-Full Year'!V194:V194)</f>
        <v>0</v>
      </c>
      <c r="L105" s="4" t="str">
        <f>IF(K105=0,"NA",(+J105-K105)/K105)</f>
        <v>NA</v>
      </c>
    </row>
    <row r="106" spans="1:12">
      <c r="A106" s="43">
        <v>156</v>
      </c>
      <c r="C106" s="1" t="str">
        <f>'New Year-Full Year'!C195</f>
        <v>Facilities Fund Reserve</v>
      </c>
      <c r="E106" s="38">
        <f>+'New Year-Full Year'!P195</f>
        <v>0</v>
      </c>
      <c r="F106" s="38">
        <f>+'New Year-Full Year'!Q195</f>
        <v>12000</v>
      </c>
      <c r="G106" s="38">
        <f t="shared" si="27"/>
        <v>-12000</v>
      </c>
      <c r="H106" s="4">
        <f t="shared" si="28"/>
        <v>-1</v>
      </c>
      <c r="J106" s="38">
        <f>+'New Year-Full Year'!U195</f>
        <v>0</v>
      </c>
      <c r="K106" s="38">
        <f>+'New Year-Full Year'!V195</f>
        <v>0</v>
      </c>
      <c r="L106" s="4" t="str">
        <f t="shared" si="29"/>
        <v>NA</v>
      </c>
    </row>
    <row r="107" spans="1:12">
      <c r="A107" s="43">
        <v>157</v>
      </c>
      <c r="C107" s="1" t="str">
        <f>'New Year-Full Year'!C196</f>
        <v>Facilities Maintenance</v>
      </c>
      <c r="E107" s="38">
        <f>+'New Year-Full Year'!P196</f>
        <v>16</v>
      </c>
      <c r="F107" s="38">
        <f>+'New Year-Full Year'!Q196</f>
        <v>521</v>
      </c>
      <c r="G107" s="38">
        <f t="shared" si="27"/>
        <v>-505</v>
      </c>
      <c r="H107" s="4">
        <f t="shared" si="28"/>
        <v>-0.96928982725527835</v>
      </c>
      <c r="J107" s="38">
        <f>+'New Year-Full Year'!U196</f>
        <v>0</v>
      </c>
      <c r="K107" s="38">
        <f>+'New Year-Full Year'!V196</f>
        <v>0</v>
      </c>
      <c r="L107" s="4" t="str">
        <f t="shared" si="29"/>
        <v>NA</v>
      </c>
    </row>
    <row r="108" spans="1:12">
      <c r="C108" s="1" t="s">
        <v>187</v>
      </c>
      <c r="E108" s="38">
        <f>+'New Year-Full Year'!P197</f>
        <v>0</v>
      </c>
      <c r="F108" s="38">
        <f>+'New Year-Full Year'!Q197</f>
        <v>0</v>
      </c>
      <c r="G108" s="38">
        <f t="shared" si="27"/>
        <v>0</v>
      </c>
      <c r="H108" s="4" t="str">
        <f t="shared" si="28"/>
        <v>NA</v>
      </c>
      <c r="J108" s="38">
        <f>+'New Year-Full Year'!U197</f>
        <v>0</v>
      </c>
      <c r="K108" s="38">
        <f>+'New Year-Full Year'!V197</f>
        <v>0</v>
      </c>
      <c r="L108" s="4" t="str">
        <f t="shared" si="29"/>
        <v>NA</v>
      </c>
    </row>
    <row r="109" spans="1:12" hidden="1">
      <c r="A109" s="43">
        <v>158</v>
      </c>
      <c r="C109" s="1" t="str">
        <f>'New Year-Full Year'!C198</f>
        <v>Line of Credit Payment</v>
      </c>
      <c r="E109" s="38">
        <f>+'New Year-Full Year'!P198</f>
        <v>0</v>
      </c>
      <c r="F109" s="38">
        <f>+'New Year-Full Year'!Q198</f>
        <v>0</v>
      </c>
      <c r="G109" s="38"/>
      <c r="H109" s="4" t="str">
        <f t="shared" si="28"/>
        <v>NA</v>
      </c>
      <c r="J109" s="38">
        <f>+'New Year-Full Year'!U198</f>
        <v>0</v>
      </c>
      <c r="K109" s="38">
        <f>+'New Year-Full Year'!V198</f>
        <v>0</v>
      </c>
      <c r="L109" s="4" t="str">
        <f t="shared" si="29"/>
        <v>NA</v>
      </c>
    </row>
    <row r="110" spans="1:12" s="2" customFormat="1">
      <c r="A110" s="43">
        <v>159</v>
      </c>
      <c r="B110" s="29" t="str">
        <f>+'New Year-Full Year'!B199</f>
        <v>Total Restricted Funds</v>
      </c>
      <c r="C110" s="29"/>
      <c r="D110" s="29"/>
      <c r="E110" s="29">
        <f>SUM(E104:E109)</f>
        <v>16</v>
      </c>
      <c r="F110" s="29">
        <f>SUM(F104:F109)</f>
        <v>12521</v>
      </c>
      <c r="G110" s="29">
        <f>SUM(G104:G109)</f>
        <v>-12505</v>
      </c>
      <c r="H110" s="30">
        <f t="shared" si="28"/>
        <v>-0.99872214679338711</v>
      </c>
      <c r="J110" s="29">
        <f>SUM(J104:J109)</f>
        <v>0</v>
      </c>
      <c r="K110" s="29">
        <f>SUM(K104:K109)</f>
        <v>0</v>
      </c>
      <c r="L110" s="30" t="str">
        <f t="shared" si="29"/>
        <v>NA</v>
      </c>
    </row>
    <row r="111" spans="1:12" ht="7.5" customHeight="1">
      <c r="A111" s="43">
        <v>160</v>
      </c>
      <c r="H111" s="39"/>
    </row>
    <row r="112" spans="1:12">
      <c r="A112" s="43">
        <v>161</v>
      </c>
      <c r="B112" s="31" t="str">
        <f>+'New Year-Full Year'!B201</f>
        <v>TOTAL EXPENSES</v>
      </c>
      <c r="C112" s="32"/>
      <c r="D112" s="32"/>
      <c r="E112" s="31">
        <f>+E71+E100+E110+E26+E79</f>
        <v>500500</v>
      </c>
      <c r="F112" s="31">
        <f>+F71+F100+F110+F26+F79</f>
        <v>513300.38049999997</v>
      </c>
      <c r="G112" s="31">
        <f>+G71+G100+G110+G26+G79</f>
        <v>-12800.38049999997</v>
      </c>
      <c r="H112" s="33">
        <f>IF(F112=0,"NA",(+E112-F112)/F112)</f>
        <v>-2.4937406996525635E-2</v>
      </c>
      <c r="J112" s="31">
        <f>+J71+J100+J110+J26+J79</f>
        <v>185865.36000000002</v>
      </c>
      <c r="K112" s="31">
        <f>+K71+K100+K110+K26+K79</f>
        <v>203108.13</v>
      </c>
      <c r="L112" s="33">
        <f>IF(K112=0,"NA",(+J112-K112)/K112)</f>
        <v>-8.4894533763862579E-2</v>
      </c>
    </row>
    <row r="113" spans="1:12">
      <c r="A113" s="43">
        <v>162</v>
      </c>
      <c r="B113" s="31" t="str">
        <f>+'New Year-Full Year'!B202</f>
        <v>Income less Expense</v>
      </c>
      <c r="C113" s="32"/>
      <c r="D113" s="32"/>
      <c r="E113" s="31">
        <f>ROUND(+E23-E112,0)</f>
        <v>0</v>
      </c>
      <c r="F113" s="31">
        <f>ROUND(+F23-F112,0)</f>
        <v>0</v>
      </c>
      <c r="G113" s="31">
        <f>ROUND(+G23-G112,0)</f>
        <v>0</v>
      </c>
      <c r="H113" s="33" t="str">
        <f>IF(F113=0,"NA",(+E113-F113)/F113)</f>
        <v>NA</v>
      </c>
      <c r="J113" s="31">
        <f>ROUND(+J23-J112,0)</f>
        <v>53520</v>
      </c>
      <c r="K113" s="31">
        <f>ROUND(+K23-K112,0)</f>
        <v>11098</v>
      </c>
      <c r="L113" s="33">
        <f>IF(K113=0,"NA",(+J113-K113)/K113)</f>
        <v>3.8224905388358263</v>
      </c>
    </row>
    <row r="114" spans="1:12" ht="7.25" customHeight="1" thickBot="1">
      <c r="H114" s="39"/>
    </row>
    <row r="115" spans="1:12">
      <c r="B115" s="106" t="str">
        <f>+'New Year-Full Year'!B204</f>
        <v>Operating Income (Envelope Giving)</v>
      </c>
      <c r="C115" s="107"/>
      <c r="D115" s="107"/>
      <c r="E115" s="123">
        <f>+E23-E21</f>
        <v>500500</v>
      </c>
      <c r="F115" s="123">
        <f>+F23-F21</f>
        <v>513300</v>
      </c>
      <c r="G115" s="123">
        <f>+G23-G21</f>
        <v>-12800</v>
      </c>
      <c r="H115" s="111">
        <f>IF(F115=0,"NA",(+E115-F115)/F115)</f>
        <v>-2.4936684200272743E-2</v>
      </c>
      <c r="I115" s="108"/>
      <c r="J115" s="123">
        <f>+J23-J21</f>
        <v>239385.57</v>
      </c>
      <c r="K115" s="123">
        <f>+K23-K21</f>
        <v>214206.28</v>
      </c>
      <c r="L115" s="112">
        <f>IF(K115=0,"NA",(+J115-K115)/K115)</f>
        <v>0.1175469271955986</v>
      </c>
    </row>
    <row r="116" spans="1:12">
      <c r="B116" s="113" t="str">
        <f>+'New Year-Full Year'!B205</f>
        <v>Operating Expenses</v>
      </c>
      <c r="C116" s="101"/>
      <c r="D116" s="101"/>
      <c r="E116" s="124">
        <f>+E112-E110</f>
        <v>500484</v>
      </c>
      <c r="F116" s="124">
        <f>+F112-F110</f>
        <v>500779.38049999997</v>
      </c>
      <c r="G116" s="124">
        <f>+G112-G110</f>
        <v>-295.3804999999702</v>
      </c>
      <c r="H116" s="105">
        <f>IF(F116=0,"NA",(+E116-F116)/F116)</f>
        <v>-5.8984157795205028E-4</v>
      </c>
      <c r="I116" s="102"/>
      <c r="J116" s="124">
        <f>+J112-J110</f>
        <v>185865.36000000002</v>
      </c>
      <c r="K116" s="124">
        <f>+K112-K110</f>
        <v>203108.13</v>
      </c>
      <c r="L116" s="114">
        <f>IF(K116=0,"NA",(+J116-K116)/K116)</f>
        <v>-8.4894533763862579E-2</v>
      </c>
    </row>
    <row r="117" spans="1:12" ht="15" thickBot="1">
      <c r="B117" s="115" t="str">
        <f>+'New Year-Full Year'!B206</f>
        <v>Net Operating Income/(Loss)</v>
      </c>
      <c r="C117" s="116"/>
      <c r="D117" s="116"/>
      <c r="E117" s="125">
        <f>+E115-E116</f>
        <v>16</v>
      </c>
      <c r="F117" s="125">
        <f>+F115-F116</f>
        <v>12520.61950000003</v>
      </c>
      <c r="G117" s="125">
        <f>+G115-G116</f>
        <v>-12504.61950000003</v>
      </c>
      <c r="H117" s="121">
        <f>IF(F117=0,"NA",(+E117-F117)/F117)</f>
        <v>-0.99872210795959415</v>
      </c>
      <c r="I117" s="118"/>
      <c r="J117" s="125">
        <f>+J115-J116</f>
        <v>53520.209999999992</v>
      </c>
      <c r="K117" s="125">
        <f>+K115-K116</f>
        <v>11098.149999999994</v>
      </c>
      <c r="L117" s="122">
        <f>IF(K117=0,"NA",(+J117-K117)/K117)</f>
        <v>3.8224442812540849</v>
      </c>
    </row>
    <row r="118" spans="1:12" ht="5" customHeight="1">
      <c r="H118" s="39"/>
    </row>
    <row r="119" spans="1:12">
      <c r="A119" s="1"/>
      <c r="B119" s="68" t="s">
        <v>443</v>
      </c>
      <c r="C119" s="599"/>
      <c r="D119" s="599"/>
      <c r="E119" s="599"/>
      <c r="F119" s="599"/>
      <c r="G119" s="605"/>
      <c r="H119" s="599"/>
      <c r="I119" s="599"/>
      <c r="J119" s="599"/>
      <c r="K119" s="599"/>
      <c r="L119" s="599"/>
    </row>
    <row r="120" spans="1:12">
      <c r="A120" s="1"/>
      <c r="B120" s="68" t="s">
        <v>464</v>
      </c>
      <c r="C120" s="599"/>
      <c r="D120" s="599"/>
      <c r="E120" s="599"/>
      <c r="F120" s="599"/>
      <c r="G120" s="605"/>
      <c r="H120" s="599"/>
      <c r="I120" s="599"/>
      <c r="J120" s="599"/>
      <c r="K120" s="599"/>
      <c r="L120" s="59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54"/>
  <sheetViews>
    <sheetView showGridLines="0" topLeftCell="B3" workbookViewId="0">
      <pane xSplit="14" ySplit="2" topLeftCell="P94" activePane="bottomRight" state="frozen"/>
      <selection activeCell="I112" sqref="I112"/>
      <selection pane="topRight" activeCell="I112" sqref="I112"/>
      <selection pane="bottomLeft" activeCell="I112" sqref="I112"/>
      <selection pane="bottomRight" activeCell="P97" sqref="P97"/>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80" customWidth="1" outlineLevel="1"/>
    <col min="6" max="6" width="11.36328125" style="39" customWidth="1" outlineLevel="1"/>
    <col min="7" max="7" width="8.6328125" style="39" customWidth="1" outlineLevel="1"/>
    <col min="8" max="8" width="10" style="39" customWidth="1" outlineLevel="1"/>
    <col min="9" max="9" width="10.6328125" style="39" customWidth="1" outlineLevel="2"/>
    <col min="10" max="10" width="8.08984375" style="39" customWidth="1" outlineLevel="2"/>
    <col min="11" max="11" width="10.36328125" style="39" customWidth="1" outlineLevel="2"/>
    <col min="12" max="12" width="7.08984375" style="39" customWidth="1" outlineLevel="2"/>
    <col min="13" max="14" width="8.36328125" style="39" customWidth="1" outlineLevel="2"/>
    <col min="15" max="15" width="9.6328125" style="1" customWidth="1" outlineLevel="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9.54296875" style="1" bestFit="1" customWidth="1"/>
    <col min="27" max="27" width="9.6328125" style="1" customWidth="1" outlineLevel="1"/>
    <col min="28" max="29" width="9.08984375" style="1" customWidth="1" outlineLevel="1"/>
    <col min="30" max="37" width="14.6328125" style="1" customWidth="1" outlineLevel="1"/>
    <col min="38" max="16384" width="9.08984375" style="1"/>
  </cols>
  <sheetData>
    <row r="1" spans="1:37" ht="41.25" customHeight="1">
      <c r="B1" s="698" t="s">
        <v>87</v>
      </c>
      <c r="C1" s="698"/>
      <c r="D1" s="698"/>
      <c r="E1" s="698"/>
      <c r="F1" s="698"/>
      <c r="G1" s="698"/>
      <c r="H1" s="698"/>
      <c r="I1" s="698"/>
      <c r="J1" s="698"/>
      <c r="K1" s="698"/>
      <c r="L1" s="698"/>
      <c r="M1" s="698"/>
      <c r="N1" s="698"/>
      <c r="O1" s="698"/>
      <c r="P1" s="698"/>
      <c r="Q1" s="698"/>
      <c r="R1" s="698"/>
      <c r="S1" s="698"/>
      <c r="T1" s="698"/>
      <c r="U1" s="698"/>
      <c r="V1" s="698"/>
      <c r="W1" s="698"/>
      <c r="X1" s="698"/>
      <c r="Y1" s="1"/>
    </row>
    <row r="2" spans="1:37" ht="23.25" customHeight="1">
      <c r="P2" s="703" t="s">
        <v>86</v>
      </c>
      <c r="Q2" s="704"/>
      <c r="R2" s="704"/>
      <c r="S2" s="705"/>
      <c r="U2" s="729" t="str">
        <f>Bud_Yr-1&amp;" Year to Date (YTD)"</f>
        <v>2019 Year to Date (YTD)</v>
      </c>
      <c r="V2" s="730"/>
      <c r="W2" s="731"/>
    </row>
    <row r="3" spans="1:37" ht="27.65" customHeight="1">
      <c r="P3" s="738" t="str">
        <f>Bud_Yr&amp;" Budget"</f>
        <v>2020 Budget</v>
      </c>
      <c r="Q3" s="739" t="str">
        <f>Bud_Yr-1&amp;" Budget"</f>
        <v>2019 Budget</v>
      </c>
      <c r="R3" s="732" t="str">
        <f>Bud_Yr&amp;" Budget vs             "&amp;Bud_Yr-1&amp;" Budget"</f>
        <v>2020 Budget vs             2019 Budget</v>
      </c>
      <c r="S3" s="733"/>
      <c r="T3" s="50"/>
      <c r="U3" s="734" t="s">
        <v>485</v>
      </c>
      <c r="V3" s="736" t="s">
        <v>486</v>
      </c>
      <c r="W3" s="713" t="s">
        <v>85</v>
      </c>
      <c r="AD3" s="725" t="str">
        <f>Bud_Yr&amp;" Budget"</f>
        <v>2020 Budget</v>
      </c>
      <c r="AE3" s="726"/>
      <c r="AF3" s="726"/>
      <c r="AG3" s="727"/>
      <c r="AH3" s="725" t="str">
        <f>+U3</f>
        <v>May 2020 YTD Actual</v>
      </c>
      <c r="AI3" s="726"/>
      <c r="AJ3" s="726"/>
      <c r="AK3" s="727"/>
    </row>
    <row r="4" spans="1:37" s="2" customFormat="1">
      <c r="A4" s="44"/>
      <c r="D4" s="15"/>
      <c r="E4" s="81"/>
      <c r="F4" s="82"/>
      <c r="G4" s="82"/>
      <c r="H4" s="82"/>
      <c r="I4" s="82"/>
      <c r="J4" s="82"/>
      <c r="K4" s="82"/>
      <c r="L4" s="82"/>
      <c r="M4" s="82"/>
      <c r="N4" s="82"/>
      <c r="P4" s="725"/>
      <c r="Q4" s="726"/>
      <c r="R4" s="49" t="s">
        <v>113</v>
      </c>
      <c r="S4" s="51" t="s">
        <v>114</v>
      </c>
      <c r="U4" s="735"/>
      <c r="V4" s="737"/>
      <c r="W4" s="714"/>
      <c r="X4" s="56" t="str">
        <f>Bud_Yr&amp;" Budget Notes"</f>
        <v>2020 Budget Notes</v>
      </c>
      <c r="Y4" s="6" t="s">
        <v>115</v>
      </c>
      <c r="AD4" s="416" t="s">
        <v>467</v>
      </c>
      <c r="AE4" s="417" t="s">
        <v>327</v>
      </c>
      <c r="AF4" s="417" t="s">
        <v>328</v>
      </c>
      <c r="AG4" s="417" t="s">
        <v>329</v>
      </c>
      <c r="AH4" s="416" t="s">
        <v>467</v>
      </c>
      <c r="AI4" s="417" t="s">
        <v>327</v>
      </c>
      <c r="AJ4" s="417" t="s">
        <v>328</v>
      </c>
      <c r="AK4" s="417" t="s">
        <v>329</v>
      </c>
    </row>
    <row r="5" spans="1:37" s="2" customFormat="1" ht="18.5">
      <c r="A5" s="44"/>
      <c r="B5" s="7" t="s">
        <v>0</v>
      </c>
      <c r="D5" s="15"/>
      <c r="E5" s="81"/>
      <c r="F5" s="82"/>
      <c r="G5" s="82"/>
      <c r="H5" s="82"/>
      <c r="I5" s="82"/>
      <c r="J5" s="82"/>
      <c r="K5" s="82"/>
      <c r="L5" s="82"/>
      <c r="M5" s="82"/>
      <c r="N5" s="82"/>
      <c r="P5" s="8"/>
      <c r="Q5" s="9"/>
      <c r="R5" s="40"/>
      <c r="S5" s="9"/>
      <c r="U5" s="9"/>
      <c r="V5" s="9"/>
      <c r="W5" s="9"/>
      <c r="X5" s="72"/>
      <c r="Y5" s="57"/>
    </row>
    <row r="6" spans="1:37">
      <c r="A6" s="43">
        <v>1</v>
      </c>
      <c r="B6" s="2" t="s">
        <v>1</v>
      </c>
      <c r="X6" s="73"/>
      <c r="Y6" s="71"/>
    </row>
    <row r="7" spans="1:37" ht="29">
      <c r="A7" s="43">
        <v>2</v>
      </c>
      <c r="C7" s="253" t="s">
        <v>1</v>
      </c>
      <c r="D7" s="265"/>
      <c r="E7" s="266"/>
      <c r="F7" s="267"/>
      <c r="G7" s="267"/>
      <c r="H7" s="267"/>
      <c r="I7" s="267"/>
      <c r="J7" s="267"/>
      <c r="K7" s="267"/>
      <c r="L7" s="267"/>
      <c r="M7" s="267"/>
      <c r="N7" s="267"/>
      <c r="O7" s="253"/>
      <c r="P7" s="278">
        <f>475000+2000</f>
        <v>477000</v>
      </c>
      <c r="Q7" s="250">
        <v>490000</v>
      </c>
      <c r="R7" s="251">
        <f t="shared" ref="R7:R12" si="0">+P7-Q7</f>
        <v>-13000</v>
      </c>
      <c r="S7" s="252">
        <f t="shared" ref="S7:S13" si="1">IF(Q7=0,"NA",(+P7-Q7)/Q7)</f>
        <v>-2.6530612244897958E-2</v>
      </c>
      <c r="T7" s="253"/>
      <c r="U7" s="250">
        <v>227003.88</v>
      </c>
      <c r="V7" s="250">
        <v>203122.93</v>
      </c>
      <c r="W7" s="252">
        <f t="shared" ref="W7:W13" si="2">IF(V7=0,"NA",(+U7-V7)/V7)</f>
        <v>0.11756895196421208</v>
      </c>
      <c r="X7" s="254" t="s">
        <v>362</v>
      </c>
      <c r="Y7" s="58" t="s">
        <v>123</v>
      </c>
    </row>
    <row r="8" spans="1:37">
      <c r="C8" s="258" t="s">
        <v>469</v>
      </c>
      <c r="D8" s="268"/>
      <c r="E8" s="269"/>
      <c r="F8" s="270"/>
      <c r="G8" s="270"/>
      <c r="H8" s="270"/>
      <c r="I8" s="270"/>
      <c r="J8" s="270"/>
      <c r="K8" s="270"/>
      <c r="L8" s="270"/>
      <c r="M8" s="270"/>
      <c r="N8" s="270"/>
      <c r="O8" s="258"/>
      <c r="P8" s="255">
        <v>0</v>
      </c>
      <c r="Q8" s="255">
        <v>0</v>
      </c>
      <c r="R8" s="256">
        <f t="shared" si="0"/>
        <v>0</v>
      </c>
      <c r="S8" s="257" t="str">
        <f t="shared" si="1"/>
        <v>NA</v>
      </c>
      <c r="T8" s="258"/>
      <c r="U8" s="255">
        <v>0</v>
      </c>
      <c r="V8" s="255">
        <v>0</v>
      </c>
      <c r="W8" s="257" t="str">
        <f>IF(V8=0,"NA",(+U8-V8)/V8)</f>
        <v>NA</v>
      </c>
      <c r="X8" s="254"/>
      <c r="Y8" s="58"/>
    </row>
    <row r="9" spans="1:37">
      <c r="A9" s="43">
        <v>4</v>
      </c>
      <c r="C9" s="258" t="s">
        <v>2</v>
      </c>
      <c r="D9" s="268"/>
      <c r="E9" s="269"/>
      <c r="F9" s="270"/>
      <c r="G9" s="270"/>
      <c r="H9" s="270"/>
      <c r="I9" s="270"/>
      <c r="J9" s="270"/>
      <c r="K9" s="270"/>
      <c r="L9" s="270"/>
      <c r="M9" s="270"/>
      <c r="N9" s="270"/>
      <c r="O9" s="258"/>
      <c r="P9" s="255">
        <v>3500</v>
      </c>
      <c r="Q9" s="255">
        <v>3500</v>
      </c>
      <c r="R9" s="256">
        <f t="shared" si="0"/>
        <v>0</v>
      </c>
      <c r="S9" s="257">
        <f t="shared" si="1"/>
        <v>0</v>
      </c>
      <c r="T9" s="258"/>
      <c r="U9" s="255">
        <v>2619.6999999999998</v>
      </c>
      <c r="V9" s="255">
        <v>3500</v>
      </c>
      <c r="W9" s="257">
        <f t="shared" si="2"/>
        <v>-0.25151428571428575</v>
      </c>
      <c r="X9" s="259"/>
      <c r="Y9" s="58"/>
    </row>
    <row r="10" spans="1:37">
      <c r="A10" s="43">
        <v>5</v>
      </c>
      <c r="C10" s="258" t="s">
        <v>3</v>
      </c>
      <c r="D10" s="268"/>
      <c r="E10" s="269"/>
      <c r="F10" s="270"/>
      <c r="G10" s="270"/>
      <c r="H10" s="270"/>
      <c r="I10" s="270"/>
      <c r="J10" s="270"/>
      <c r="K10" s="270"/>
      <c r="L10" s="270"/>
      <c r="M10" s="270"/>
      <c r="N10" s="270"/>
      <c r="O10" s="258"/>
      <c r="P10" s="255">
        <v>1000</v>
      </c>
      <c r="Q10" s="255">
        <v>1000</v>
      </c>
      <c r="R10" s="256">
        <f t="shared" si="0"/>
        <v>0</v>
      </c>
      <c r="S10" s="257">
        <f t="shared" si="1"/>
        <v>0</v>
      </c>
      <c r="T10" s="258"/>
      <c r="U10" s="255">
        <v>0</v>
      </c>
      <c r="V10" s="255">
        <v>0</v>
      </c>
      <c r="W10" s="257" t="str">
        <f t="shared" si="2"/>
        <v>NA</v>
      </c>
      <c r="X10" s="259" t="s">
        <v>448</v>
      </c>
      <c r="Y10" s="58"/>
    </row>
    <row r="11" spans="1:37">
      <c r="A11" s="43">
        <v>6</v>
      </c>
      <c r="C11" s="258" t="s">
        <v>4</v>
      </c>
      <c r="D11" s="268"/>
      <c r="E11" s="269"/>
      <c r="F11" s="270"/>
      <c r="G11" s="270"/>
      <c r="H11" s="270"/>
      <c r="I11" s="270"/>
      <c r="J11" s="270"/>
      <c r="K11" s="270"/>
      <c r="L11" s="270"/>
      <c r="M11" s="270"/>
      <c r="N11" s="270"/>
      <c r="O11" s="258"/>
      <c r="P11" s="255">
        <v>5000</v>
      </c>
      <c r="Q11" s="255">
        <v>5000</v>
      </c>
      <c r="R11" s="256">
        <f t="shared" si="0"/>
        <v>0</v>
      </c>
      <c r="S11" s="257">
        <f t="shared" si="1"/>
        <v>0</v>
      </c>
      <c r="T11" s="258"/>
      <c r="U11" s="255">
        <v>0</v>
      </c>
      <c r="V11" s="255">
        <v>0</v>
      </c>
      <c r="W11" s="257" t="str">
        <f t="shared" si="2"/>
        <v>NA</v>
      </c>
      <c r="X11" s="259"/>
      <c r="Y11" s="58"/>
    </row>
    <row r="12" spans="1:37">
      <c r="A12" s="43">
        <v>7</v>
      </c>
      <c r="C12" s="258" t="s">
        <v>5</v>
      </c>
      <c r="D12" s="268"/>
      <c r="E12" s="269"/>
      <c r="F12" s="270"/>
      <c r="G12" s="270"/>
      <c r="H12" s="270"/>
      <c r="I12" s="270"/>
      <c r="J12" s="270"/>
      <c r="K12" s="270"/>
      <c r="L12" s="270"/>
      <c r="M12" s="270"/>
      <c r="N12" s="270"/>
      <c r="O12" s="258"/>
      <c r="P12" s="255">
        <v>3000</v>
      </c>
      <c r="Q12" s="255">
        <v>2800</v>
      </c>
      <c r="R12" s="256">
        <f t="shared" si="0"/>
        <v>200</v>
      </c>
      <c r="S12" s="257">
        <f t="shared" si="1"/>
        <v>7.1428571428571425E-2</v>
      </c>
      <c r="T12" s="258"/>
      <c r="U12" s="255">
        <v>1739</v>
      </c>
      <c r="V12" s="255">
        <v>3000</v>
      </c>
      <c r="W12" s="257">
        <f t="shared" si="2"/>
        <v>-0.42033333333333334</v>
      </c>
      <c r="X12" s="259"/>
      <c r="Y12" s="58"/>
    </row>
    <row r="13" spans="1:37">
      <c r="A13" s="43">
        <v>8</v>
      </c>
      <c r="B13" s="10" t="s">
        <v>6</v>
      </c>
      <c r="C13" s="10"/>
      <c r="D13" s="10"/>
      <c r="E13" s="83"/>
      <c r="F13" s="83"/>
      <c r="G13" s="83"/>
      <c r="H13" s="83"/>
      <c r="I13" s="83"/>
      <c r="J13" s="83"/>
      <c r="K13" s="83"/>
      <c r="L13" s="83"/>
      <c r="M13" s="83"/>
      <c r="N13" s="83"/>
      <c r="O13" s="10"/>
      <c r="P13" s="10">
        <f>SUM(P7:P12)</f>
        <v>489500</v>
      </c>
      <c r="Q13" s="10">
        <f>SUM(Q7:Q12)</f>
        <v>502300</v>
      </c>
      <c r="R13" s="10">
        <f>SUM(R7:R12)</f>
        <v>-12800</v>
      </c>
      <c r="S13" s="11">
        <f t="shared" si="1"/>
        <v>-2.5482779215608202E-2</v>
      </c>
      <c r="U13" s="10">
        <f>SUM(U7:U12)</f>
        <v>231362.58000000002</v>
      </c>
      <c r="V13" s="10">
        <f>SUM(V7:V12)</f>
        <v>209622.93</v>
      </c>
      <c r="W13" s="11">
        <f t="shared" si="2"/>
        <v>0.1037083586227901</v>
      </c>
      <c r="X13" s="74"/>
      <c r="Y13" s="59"/>
    </row>
    <row r="14" spans="1:37" ht="5.25" customHeight="1">
      <c r="A14" s="43">
        <v>9</v>
      </c>
      <c r="S14" s="5"/>
      <c r="X14" s="74"/>
      <c r="Y14" s="59"/>
    </row>
    <row r="15" spans="1:37">
      <c r="A15" s="43">
        <v>10</v>
      </c>
      <c r="B15" s="2" t="s">
        <v>7</v>
      </c>
      <c r="S15" s="5"/>
      <c r="X15" s="74"/>
      <c r="Y15" s="59"/>
    </row>
    <row r="16" spans="1:37">
      <c r="A16" s="43">
        <v>11</v>
      </c>
      <c r="C16" s="253" t="s">
        <v>447</v>
      </c>
      <c r="D16" s="265"/>
      <c r="E16" s="266"/>
      <c r="F16" s="267"/>
      <c r="G16" s="267"/>
      <c r="H16" s="267"/>
      <c r="I16" s="267"/>
      <c r="J16" s="267"/>
      <c r="K16" s="267"/>
      <c r="L16" s="267"/>
      <c r="M16" s="267"/>
      <c r="N16" s="267"/>
      <c r="O16" s="253"/>
      <c r="P16" s="250">
        <v>11000</v>
      </c>
      <c r="Q16" s="250">
        <v>11000</v>
      </c>
      <c r="R16" s="251">
        <f>+P16-Q16</f>
        <v>0</v>
      </c>
      <c r="S16" s="252">
        <f t="shared" ref="S16:S22" si="3">IF(Q16=0,"NA",(+P16-Q16)/Q16)</f>
        <v>0</v>
      </c>
      <c r="T16" s="253"/>
      <c r="U16" s="250">
        <v>8022.99</v>
      </c>
      <c r="V16" s="250">
        <v>4583.3500000000004</v>
      </c>
      <c r="W16" s="252">
        <f t="shared" ref="W16:W22" si="4">IF(V16=0,"NA",(+U16-V16)/V16)</f>
        <v>0.75046418013025384</v>
      </c>
      <c r="X16" s="254"/>
      <c r="Y16" s="58"/>
    </row>
    <row r="17" spans="1:25" hidden="1">
      <c r="A17" s="43">
        <v>12</v>
      </c>
      <c r="C17" s="258" t="s">
        <v>7</v>
      </c>
      <c r="D17" s="268"/>
      <c r="E17" s="269"/>
      <c r="F17" s="270"/>
      <c r="G17" s="270"/>
      <c r="H17" s="270"/>
      <c r="I17" s="270"/>
      <c r="J17" s="270"/>
      <c r="K17" s="270"/>
      <c r="L17" s="270"/>
      <c r="M17" s="270"/>
      <c r="N17" s="270"/>
      <c r="O17" s="258"/>
      <c r="P17" s="255">
        <v>0</v>
      </c>
      <c r="Q17" s="255">
        <v>0</v>
      </c>
      <c r="R17" s="256">
        <f>+P17-Q17</f>
        <v>0</v>
      </c>
      <c r="S17" s="257" t="str">
        <f t="shared" si="3"/>
        <v>NA</v>
      </c>
      <c r="T17" s="258"/>
      <c r="U17" s="255">
        <v>0</v>
      </c>
      <c r="V17" s="255">
        <v>0</v>
      </c>
      <c r="W17" s="257" t="str">
        <f t="shared" si="4"/>
        <v>NA</v>
      </c>
      <c r="X17" s="274"/>
      <c r="Y17" s="59"/>
    </row>
    <row r="18" spans="1:25" hidden="1">
      <c r="A18" s="43">
        <v>13</v>
      </c>
      <c r="C18" s="258" t="s">
        <v>8</v>
      </c>
      <c r="D18" s="268"/>
      <c r="E18" s="269"/>
      <c r="F18" s="270"/>
      <c r="G18" s="270"/>
      <c r="H18" s="270"/>
      <c r="I18" s="270"/>
      <c r="J18" s="270"/>
      <c r="K18" s="270"/>
      <c r="L18" s="270"/>
      <c r="M18" s="270"/>
      <c r="N18" s="270"/>
      <c r="O18" s="258"/>
      <c r="P18" s="255">
        <v>0</v>
      </c>
      <c r="Q18" s="255">
        <v>0</v>
      </c>
      <c r="R18" s="256">
        <f>+P18-Q18</f>
        <v>0</v>
      </c>
      <c r="S18" s="257" t="str">
        <f t="shared" si="3"/>
        <v>NA</v>
      </c>
      <c r="T18" s="258"/>
      <c r="U18" s="255">
        <v>0</v>
      </c>
      <c r="V18" s="255">
        <v>0</v>
      </c>
      <c r="W18" s="257" t="str">
        <f t="shared" si="4"/>
        <v>NA</v>
      </c>
      <c r="X18" s="274"/>
      <c r="Y18" s="59"/>
    </row>
    <row r="19" spans="1:25">
      <c r="A19" s="43">
        <v>14</v>
      </c>
      <c r="C19" s="258" t="s">
        <v>10</v>
      </c>
      <c r="D19" s="268"/>
      <c r="E19" s="269"/>
      <c r="F19" s="270"/>
      <c r="G19" s="270"/>
      <c r="H19" s="270"/>
      <c r="I19" s="270"/>
      <c r="J19" s="270"/>
      <c r="K19" s="270"/>
      <c r="L19" s="270"/>
      <c r="M19" s="270"/>
      <c r="N19" s="270"/>
      <c r="O19" s="258"/>
      <c r="P19" s="255">
        <v>0</v>
      </c>
      <c r="Q19" s="255">
        <v>0</v>
      </c>
      <c r="R19" s="256">
        <f>+P19-Q19</f>
        <v>0</v>
      </c>
      <c r="S19" s="257" t="str">
        <f t="shared" si="3"/>
        <v>NA</v>
      </c>
      <c r="T19" s="258"/>
      <c r="U19" s="255">
        <v>0</v>
      </c>
      <c r="V19" s="255">
        <v>0</v>
      </c>
      <c r="W19" s="257" t="str">
        <f t="shared" si="4"/>
        <v>NA</v>
      </c>
      <c r="X19" s="274"/>
      <c r="Y19" s="59"/>
    </row>
    <row r="20" spans="1:25" hidden="1">
      <c r="A20" s="43">
        <v>15</v>
      </c>
      <c r="C20" s="263" t="s">
        <v>95</v>
      </c>
      <c r="D20" s="271"/>
      <c r="E20" s="272"/>
      <c r="F20" s="273"/>
      <c r="G20" s="273"/>
      <c r="H20" s="273"/>
      <c r="I20" s="273"/>
      <c r="J20" s="273"/>
      <c r="K20" s="273"/>
      <c r="L20" s="273"/>
      <c r="M20" s="273"/>
      <c r="N20" s="273"/>
      <c r="O20" s="263"/>
      <c r="P20" s="260">
        <v>0</v>
      </c>
      <c r="Q20" s="260">
        <v>0</v>
      </c>
      <c r="R20" s="261">
        <f>+P20-Q20</f>
        <v>0</v>
      </c>
      <c r="S20" s="262" t="str">
        <f t="shared" si="3"/>
        <v>NA</v>
      </c>
      <c r="T20" s="263"/>
      <c r="U20" s="260">
        <v>0</v>
      </c>
      <c r="V20" s="260">
        <v>0</v>
      </c>
      <c r="W20" s="262" t="str">
        <f t="shared" si="4"/>
        <v>NA</v>
      </c>
      <c r="X20" s="275"/>
      <c r="Y20" s="59"/>
    </row>
    <row r="21" spans="1:25">
      <c r="A21" s="43">
        <v>16</v>
      </c>
      <c r="B21" s="10" t="s">
        <v>9</v>
      </c>
      <c r="C21" s="10"/>
      <c r="D21" s="10"/>
      <c r="E21" s="83"/>
      <c r="F21" s="83"/>
      <c r="G21" s="83"/>
      <c r="H21" s="83"/>
      <c r="I21" s="83"/>
      <c r="J21" s="83"/>
      <c r="K21" s="83"/>
      <c r="L21" s="83"/>
      <c r="M21" s="83"/>
      <c r="N21" s="83"/>
      <c r="O21" s="10"/>
      <c r="P21" s="10">
        <f>SUM(P16:P20)</f>
        <v>11000</v>
      </c>
      <c r="Q21" s="10">
        <f>SUM(Q16:Q20)</f>
        <v>11000</v>
      </c>
      <c r="R21" s="10">
        <f>SUM(R16:R20)</f>
        <v>0</v>
      </c>
      <c r="S21" s="11">
        <f t="shared" si="3"/>
        <v>0</v>
      </c>
      <c r="U21" s="10">
        <f>SUM(U16:U20)</f>
        <v>8022.99</v>
      </c>
      <c r="V21" s="10">
        <f>SUM(V16:V20)</f>
        <v>4583.3500000000004</v>
      </c>
      <c r="W21" s="11">
        <f t="shared" si="4"/>
        <v>0.75046418013025384</v>
      </c>
      <c r="X21" s="74"/>
      <c r="Y21" s="59"/>
    </row>
    <row r="22" spans="1:25">
      <c r="A22" s="43">
        <v>17</v>
      </c>
      <c r="B22" s="10" t="s">
        <v>11</v>
      </c>
      <c r="C22" s="10"/>
      <c r="D22" s="10"/>
      <c r="E22" s="83"/>
      <c r="F22" s="83"/>
      <c r="G22" s="83"/>
      <c r="H22" s="83"/>
      <c r="I22" s="83"/>
      <c r="J22" s="83"/>
      <c r="K22" s="83"/>
      <c r="L22" s="83"/>
      <c r="M22" s="83"/>
      <c r="N22" s="83"/>
      <c r="O22" s="10"/>
      <c r="P22" s="10">
        <f>+P13+P21</f>
        <v>500500</v>
      </c>
      <c r="Q22" s="10">
        <f>+Q13+Q21</f>
        <v>513300</v>
      </c>
      <c r="R22" s="10">
        <f>+R13+R21</f>
        <v>-12800</v>
      </c>
      <c r="S22" s="11">
        <f t="shared" si="3"/>
        <v>-2.4936684200272743E-2</v>
      </c>
      <c r="U22" s="10">
        <f>+U13+U21</f>
        <v>239385.57</v>
      </c>
      <c r="V22" s="10">
        <f>+V13+V21</f>
        <v>214206.28</v>
      </c>
      <c r="W22" s="11">
        <f t="shared" si="4"/>
        <v>0.1175469271955986</v>
      </c>
      <c r="X22" s="74"/>
      <c r="Y22" s="59"/>
    </row>
    <row r="23" spans="1:25" ht="6" customHeight="1">
      <c r="A23" s="43">
        <v>18</v>
      </c>
      <c r="S23" s="5"/>
      <c r="X23" s="74"/>
      <c r="Y23" s="59"/>
    </row>
    <row r="24" spans="1:25" ht="18.5">
      <c r="A24" s="43">
        <v>19</v>
      </c>
      <c r="B24" s="7" t="s">
        <v>12</v>
      </c>
      <c r="S24" s="5"/>
      <c r="X24" s="74"/>
      <c r="Y24" s="59"/>
    </row>
    <row r="25" spans="1:25" ht="18.5">
      <c r="B25" s="7" t="s">
        <v>92</v>
      </c>
      <c r="S25" s="39"/>
      <c r="W25" s="39"/>
      <c r="X25" s="74"/>
      <c r="Y25" s="59"/>
    </row>
    <row r="26" spans="1:25" ht="18.5">
      <c r="B26" s="7"/>
      <c r="C26" s="253" t="s">
        <v>453</v>
      </c>
      <c r="D26" s="265"/>
      <c r="E26" s="266"/>
      <c r="F26" s="267"/>
      <c r="G26" s="267"/>
      <c r="H26" s="267"/>
      <c r="I26" s="267"/>
      <c r="J26" s="267"/>
      <c r="K26" s="267"/>
      <c r="L26" s="267"/>
      <c r="M26" s="267"/>
      <c r="N26" s="267"/>
      <c r="O26" s="253"/>
      <c r="P26" s="278">
        <f>28630+40040-39880</f>
        <v>28790</v>
      </c>
      <c r="Q26" s="278">
        <v>31400</v>
      </c>
      <c r="R26" s="251">
        <f t="shared" ref="R26:R36" si="5">+P26-Q26</f>
        <v>-2610</v>
      </c>
      <c r="S26" s="252">
        <f t="shared" ref="S26:S36" si="6">IF(Q26=0,"NA",(+P26-Q26)/Q26)</f>
        <v>-8.312101910828025E-2</v>
      </c>
      <c r="T26" s="253"/>
      <c r="U26" s="250">
        <v>13495.85</v>
      </c>
      <c r="V26" s="250">
        <v>11995.95</v>
      </c>
      <c r="W26" s="252">
        <f t="shared" ref="W26:W36" si="7">IF(V26=0,"NA",(+U26-V26)/V26)</f>
        <v>0.12503386559630539</v>
      </c>
      <c r="X26" s="254"/>
      <c r="Y26" s="59"/>
    </row>
    <row r="27" spans="1:25" ht="18.5">
      <c r="B27" s="7"/>
      <c r="C27" s="258" t="s">
        <v>454</v>
      </c>
      <c r="D27" s="268"/>
      <c r="E27" s="269"/>
      <c r="F27" s="270"/>
      <c r="G27" s="270"/>
      <c r="H27" s="270"/>
      <c r="I27" s="270"/>
      <c r="J27" s="270"/>
      <c r="K27" s="270"/>
      <c r="L27" s="270"/>
      <c r="M27" s="270"/>
      <c r="N27" s="270"/>
      <c r="O27" s="258"/>
      <c r="P27" s="276">
        <v>6000</v>
      </c>
      <c r="Q27" s="276">
        <v>12000</v>
      </c>
      <c r="R27" s="251">
        <f t="shared" si="5"/>
        <v>-6000</v>
      </c>
      <c r="S27" s="252">
        <f t="shared" si="6"/>
        <v>-0.5</v>
      </c>
      <c r="T27" s="253"/>
      <c r="U27" s="250">
        <f>587.5+912.5</f>
        <v>1500</v>
      </c>
      <c r="V27" s="250">
        <f>587.5+912.5</f>
        <v>1500</v>
      </c>
      <c r="W27" s="252">
        <f t="shared" si="7"/>
        <v>0</v>
      </c>
      <c r="X27" s="254"/>
      <c r="Y27" s="59"/>
    </row>
    <row r="28" spans="1:25" ht="18.5">
      <c r="B28" s="7"/>
      <c r="C28" s="258" t="s">
        <v>455</v>
      </c>
      <c r="D28" s="268"/>
      <c r="E28" s="269"/>
      <c r="F28" s="270"/>
      <c r="G28" s="270"/>
      <c r="H28" s="270"/>
      <c r="I28" s="270"/>
      <c r="J28" s="270"/>
      <c r="K28" s="270"/>
      <c r="L28" s="270"/>
      <c r="M28" s="270"/>
      <c r="N28" s="270"/>
      <c r="O28" s="258"/>
      <c r="P28" s="276">
        <v>500</v>
      </c>
      <c r="Q28" s="276">
        <v>500</v>
      </c>
      <c r="R28" s="251">
        <f t="shared" si="5"/>
        <v>0</v>
      </c>
      <c r="S28" s="252">
        <f t="shared" si="6"/>
        <v>0</v>
      </c>
      <c r="T28" s="253"/>
      <c r="U28" s="250">
        <v>125</v>
      </c>
      <c r="V28" s="250">
        <v>125</v>
      </c>
      <c r="W28" s="252">
        <f t="shared" si="7"/>
        <v>0</v>
      </c>
      <c r="X28" s="254"/>
      <c r="Y28" s="59"/>
    </row>
    <row r="29" spans="1:25" ht="18.5">
      <c r="B29" s="7"/>
      <c r="C29" s="258" t="s">
        <v>465</v>
      </c>
      <c r="D29" s="268"/>
      <c r="E29" s="269"/>
      <c r="F29" s="270"/>
      <c r="G29" s="270"/>
      <c r="H29" s="270"/>
      <c r="I29" s="270"/>
      <c r="J29" s="270"/>
      <c r="K29" s="270"/>
      <c r="L29" s="270"/>
      <c r="M29" s="270"/>
      <c r="N29" s="270"/>
      <c r="O29" s="258"/>
      <c r="P29" s="276">
        <v>1000</v>
      </c>
      <c r="Q29" s="276">
        <v>1400</v>
      </c>
      <c r="R29" s="251">
        <f t="shared" si="5"/>
        <v>-400</v>
      </c>
      <c r="S29" s="252">
        <f t="shared" si="6"/>
        <v>-0.2857142857142857</v>
      </c>
      <c r="T29" s="253"/>
      <c r="U29" s="250">
        <v>250</v>
      </c>
      <c r="V29" s="250">
        <v>250</v>
      </c>
      <c r="W29" s="252">
        <f t="shared" si="7"/>
        <v>0</v>
      </c>
      <c r="X29" s="254"/>
      <c r="Y29" s="59"/>
    </row>
    <row r="30" spans="1:25" ht="18.5">
      <c r="B30" s="7"/>
      <c r="C30" s="258" t="s">
        <v>456</v>
      </c>
      <c r="D30" s="268"/>
      <c r="E30" s="269"/>
      <c r="F30" s="270"/>
      <c r="G30" s="270"/>
      <c r="H30" s="270"/>
      <c r="I30" s="270"/>
      <c r="J30" s="270"/>
      <c r="K30" s="270"/>
      <c r="L30" s="270"/>
      <c r="M30" s="270"/>
      <c r="N30" s="270"/>
      <c r="O30" s="258"/>
      <c r="P30" s="276">
        <v>750</v>
      </c>
      <c r="Q30" s="276">
        <v>1200</v>
      </c>
      <c r="R30" s="251">
        <f t="shared" si="5"/>
        <v>-450</v>
      </c>
      <c r="S30" s="252">
        <f t="shared" si="6"/>
        <v>-0.375</v>
      </c>
      <c r="T30" s="253"/>
      <c r="U30" s="250">
        <v>187.5</v>
      </c>
      <c r="V30" s="250">
        <v>187.5</v>
      </c>
      <c r="W30" s="252">
        <f t="shared" si="7"/>
        <v>0</v>
      </c>
      <c r="X30" s="254"/>
      <c r="Y30" s="59"/>
    </row>
    <row r="31" spans="1:25" ht="18.5">
      <c r="B31" s="7"/>
      <c r="C31" s="258" t="s">
        <v>457</v>
      </c>
      <c r="D31" s="268"/>
      <c r="E31" s="269"/>
      <c r="F31" s="270"/>
      <c r="G31" s="270"/>
      <c r="H31" s="270"/>
      <c r="I31" s="270"/>
      <c r="J31" s="270"/>
      <c r="K31" s="270"/>
      <c r="L31" s="270"/>
      <c r="M31" s="270"/>
      <c r="N31" s="270"/>
      <c r="O31" s="258"/>
      <c r="P31" s="276">
        <v>500</v>
      </c>
      <c r="Q31" s="276">
        <v>830</v>
      </c>
      <c r="R31" s="251">
        <f t="shared" si="5"/>
        <v>-330</v>
      </c>
      <c r="S31" s="252">
        <f t="shared" si="6"/>
        <v>-0.39759036144578314</v>
      </c>
      <c r="T31" s="253"/>
      <c r="U31" s="250">
        <v>125</v>
      </c>
      <c r="V31" s="250">
        <v>125</v>
      </c>
      <c r="W31" s="252">
        <f t="shared" si="7"/>
        <v>0</v>
      </c>
      <c r="X31" s="254"/>
      <c r="Y31" s="59"/>
    </row>
    <row r="32" spans="1:25" ht="18.5">
      <c r="B32" s="7"/>
      <c r="C32" s="258" t="s">
        <v>458</v>
      </c>
      <c r="D32" s="268"/>
      <c r="E32" s="269"/>
      <c r="F32" s="270"/>
      <c r="G32" s="270"/>
      <c r="H32" s="270"/>
      <c r="I32" s="270"/>
      <c r="J32" s="270"/>
      <c r="K32" s="270"/>
      <c r="L32" s="270"/>
      <c r="M32" s="270"/>
      <c r="N32" s="270"/>
      <c r="O32" s="258"/>
      <c r="P32" s="276">
        <v>1000</v>
      </c>
      <c r="Q32" s="276">
        <v>1250</v>
      </c>
      <c r="R32" s="251">
        <f t="shared" si="5"/>
        <v>-250</v>
      </c>
      <c r="S32" s="252">
        <f t="shared" si="6"/>
        <v>-0.2</v>
      </c>
      <c r="T32" s="253"/>
      <c r="U32" s="250">
        <v>250</v>
      </c>
      <c r="V32" s="250">
        <v>250</v>
      </c>
      <c r="W32" s="252">
        <f t="shared" si="7"/>
        <v>0</v>
      </c>
      <c r="X32" s="254"/>
      <c r="Y32" s="59"/>
    </row>
    <row r="33" spans="1:37" ht="18.5">
      <c r="B33" s="7"/>
      <c r="C33" s="258" t="s">
        <v>459</v>
      </c>
      <c r="D33" s="268"/>
      <c r="E33" s="269"/>
      <c r="F33" s="270"/>
      <c r="G33" s="270"/>
      <c r="H33" s="270"/>
      <c r="I33" s="270"/>
      <c r="J33" s="270"/>
      <c r="K33" s="270"/>
      <c r="L33" s="270"/>
      <c r="M33" s="270"/>
      <c r="N33" s="270"/>
      <c r="O33" s="258"/>
      <c r="P33" s="276">
        <v>1000</v>
      </c>
      <c r="Q33" s="276">
        <v>1250</v>
      </c>
      <c r="R33" s="251">
        <f t="shared" si="5"/>
        <v>-250</v>
      </c>
      <c r="S33" s="252">
        <f t="shared" si="6"/>
        <v>-0.2</v>
      </c>
      <c r="T33" s="253"/>
      <c r="U33" s="250">
        <v>250</v>
      </c>
      <c r="V33" s="250">
        <v>250</v>
      </c>
      <c r="W33" s="252">
        <f t="shared" si="7"/>
        <v>0</v>
      </c>
      <c r="X33" s="254"/>
      <c r="Y33" s="59"/>
    </row>
    <row r="34" spans="1:37" ht="18.5">
      <c r="B34" s="7"/>
      <c r="C34" s="258" t="s">
        <v>460</v>
      </c>
      <c r="D34" s="268"/>
      <c r="E34" s="269"/>
      <c r="F34" s="270"/>
      <c r="G34" s="270"/>
      <c r="H34" s="270"/>
      <c r="I34" s="270"/>
      <c r="J34" s="270"/>
      <c r="K34" s="270"/>
      <c r="L34" s="270"/>
      <c r="M34" s="270"/>
      <c r="N34" s="270"/>
      <c r="O34" s="258"/>
      <c r="P34" s="276">
        <v>500</v>
      </c>
      <c r="Q34" s="276">
        <v>0</v>
      </c>
      <c r="R34" s="251">
        <f t="shared" si="5"/>
        <v>500</v>
      </c>
      <c r="S34" s="252" t="str">
        <f t="shared" si="6"/>
        <v>NA</v>
      </c>
      <c r="T34" s="253"/>
      <c r="U34" s="250">
        <v>125</v>
      </c>
      <c r="V34" s="250">
        <v>125</v>
      </c>
      <c r="W34" s="252">
        <f t="shared" si="7"/>
        <v>0</v>
      </c>
      <c r="X34" s="254"/>
      <c r="Y34" s="59"/>
    </row>
    <row r="35" spans="1:37" ht="18.5">
      <c r="B35" s="7"/>
      <c r="C35" s="258" t="s">
        <v>461</v>
      </c>
      <c r="D35" s="268"/>
      <c r="E35" s="269"/>
      <c r="F35" s="270"/>
      <c r="G35" s="270"/>
      <c r="H35" s="270"/>
      <c r="I35" s="270"/>
      <c r="J35" s="270"/>
      <c r="K35" s="270"/>
      <c r="L35" s="270"/>
      <c r="M35" s="270"/>
      <c r="N35" s="270"/>
      <c r="O35" s="258"/>
      <c r="P35" s="276">
        <v>0</v>
      </c>
      <c r="Q35" s="276">
        <v>500</v>
      </c>
      <c r="R35" s="251">
        <f t="shared" si="5"/>
        <v>-500</v>
      </c>
      <c r="S35" s="252">
        <f t="shared" si="6"/>
        <v>-1</v>
      </c>
      <c r="T35" s="253"/>
      <c r="U35" s="250"/>
      <c r="V35" s="250"/>
      <c r="W35" s="252" t="str">
        <f t="shared" si="7"/>
        <v>NA</v>
      </c>
      <c r="X35" s="254"/>
      <c r="Y35" s="59"/>
    </row>
    <row r="36" spans="1:37" ht="18.5">
      <c r="B36" s="7"/>
      <c r="C36" s="258" t="s">
        <v>462</v>
      </c>
      <c r="D36" s="268"/>
      <c r="E36" s="269"/>
      <c r="F36" s="270"/>
      <c r="G36" s="270"/>
      <c r="H36" s="270"/>
      <c r="I36" s="270"/>
      <c r="J36" s="270"/>
      <c r="K36" s="270"/>
      <c r="L36" s="270"/>
      <c r="M36" s="270"/>
      <c r="N36" s="270"/>
      <c r="O36" s="258"/>
      <c r="P36" s="276">
        <v>0</v>
      </c>
      <c r="Q36" s="276">
        <v>1000</v>
      </c>
      <c r="R36" s="251">
        <f t="shared" si="5"/>
        <v>-1000</v>
      </c>
      <c r="S36" s="252">
        <f t="shared" si="6"/>
        <v>-1</v>
      </c>
      <c r="T36" s="253"/>
      <c r="U36" s="250"/>
      <c r="V36" s="250"/>
      <c r="W36" s="252" t="str">
        <f t="shared" si="7"/>
        <v>NA</v>
      </c>
      <c r="X36" s="254"/>
      <c r="Y36" s="59"/>
    </row>
    <row r="37" spans="1:37" hidden="1">
      <c r="A37" s="43">
        <v>21</v>
      </c>
      <c r="C37" s="1" t="s">
        <v>13</v>
      </c>
      <c r="P37" s="1">
        <f>+P22</f>
        <v>500500</v>
      </c>
      <c r="Q37" s="1">
        <f>+Q22</f>
        <v>513300</v>
      </c>
      <c r="R37" s="38">
        <f>+P37-Q37</f>
        <v>-12800</v>
      </c>
      <c r="S37" s="5"/>
      <c r="X37" s="74"/>
      <c r="Y37" s="59"/>
    </row>
    <row r="38" spans="1:37" hidden="1">
      <c r="A38" s="43">
        <v>23</v>
      </c>
      <c r="C38" s="1" t="s">
        <v>14</v>
      </c>
      <c r="P38" s="38">
        <f>-P198</f>
        <v>0</v>
      </c>
      <c r="Q38" s="38">
        <f>-Q198</f>
        <v>0</v>
      </c>
      <c r="R38" s="38">
        <f>+P38-Q38</f>
        <v>0</v>
      </c>
      <c r="S38" s="5"/>
      <c r="U38" s="38"/>
      <c r="V38" s="38"/>
      <c r="X38" s="74"/>
      <c r="Y38" s="59"/>
    </row>
    <row r="39" spans="1:37" hidden="1">
      <c r="A39" s="43">
        <v>24</v>
      </c>
      <c r="C39" s="1" t="s">
        <v>15</v>
      </c>
      <c r="P39" s="38">
        <f>-P187</f>
        <v>0</v>
      </c>
      <c r="Q39" s="38">
        <f>-Q187</f>
        <v>0</v>
      </c>
      <c r="R39" s="38">
        <f>+P39-Q39</f>
        <v>0</v>
      </c>
      <c r="S39" s="5"/>
      <c r="U39" s="38"/>
      <c r="V39" s="38"/>
      <c r="X39" s="74"/>
      <c r="Y39" s="59"/>
    </row>
    <row r="40" spans="1:37" hidden="1">
      <c r="A40" s="43">
        <v>25</v>
      </c>
      <c r="C40" s="1" t="s">
        <v>111</v>
      </c>
      <c r="P40" s="1">
        <f>SUM(P37:P39)</f>
        <v>500500</v>
      </c>
      <c r="Q40" s="1">
        <f>SUM(Q37:Q39)</f>
        <v>513300</v>
      </c>
      <c r="R40" s="38">
        <f>+P40-Q40</f>
        <v>-12800</v>
      </c>
      <c r="S40" s="5"/>
      <c r="X40" s="74"/>
      <c r="Y40" s="59"/>
    </row>
    <row r="41" spans="1:37" s="2" customFormat="1" ht="29">
      <c r="A41" s="43">
        <v>26</v>
      </c>
      <c r="B41" s="604">
        <v>0.08</v>
      </c>
      <c r="C41" s="13" t="str">
        <f>B41*100&amp;"% Benevolence"</f>
        <v>8% Benevolence</v>
      </c>
      <c r="D41" s="13"/>
      <c r="E41" s="84"/>
      <c r="F41" s="85"/>
      <c r="G41" s="85"/>
      <c r="H41" s="85"/>
      <c r="I41" s="85"/>
      <c r="J41" s="85"/>
      <c r="K41" s="85"/>
      <c r="L41" s="85"/>
      <c r="M41" s="85"/>
      <c r="N41" s="85"/>
      <c r="O41" s="12"/>
      <c r="P41" s="12">
        <f>ROUND(+P40*B41,0)</f>
        <v>40040</v>
      </c>
      <c r="Q41" s="12">
        <f>ROUND(+Q40*0.1,0)</f>
        <v>51330</v>
      </c>
      <c r="R41" s="12">
        <f>ROUND(+R40*0.1,0)</f>
        <v>-1280</v>
      </c>
      <c r="S41" s="14">
        <f>IF(Q41=0,"NA",(+P41-Q41)/Q41)</f>
        <v>-0.21994934736021821</v>
      </c>
      <c r="T41" s="1"/>
      <c r="U41" s="625">
        <f>SUM(U26:U36)</f>
        <v>16308.35</v>
      </c>
      <c r="V41" s="625">
        <f>SUM(V26:V36)</f>
        <v>14808.45</v>
      </c>
      <c r="W41" s="14">
        <f>IF(V41=0,"NA",(+U41-V41)/V41)</f>
        <v>0.1012867653265534</v>
      </c>
      <c r="X41" s="64" t="s">
        <v>424</v>
      </c>
      <c r="Y41" s="60"/>
      <c r="AF41" s="1">
        <f>+$P41</f>
        <v>40040</v>
      </c>
      <c r="AG41" s="1"/>
      <c r="AJ41" s="1">
        <f>+$U41</f>
        <v>16308.35</v>
      </c>
      <c r="AK41" s="1"/>
    </row>
    <row r="42" spans="1:37" s="2" customFormat="1" ht="6.75" customHeight="1">
      <c r="A42" s="43">
        <v>27</v>
      </c>
      <c r="B42" s="15"/>
      <c r="C42" s="16"/>
      <c r="D42" s="15"/>
      <c r="E42" s="81"/>
      <c r="F42" s="81"/>
      <c r="G42" s="81"/>
      <c r="H42" s="81"/>
      <c r="I42" s="81"/>
      <c r="J42" s="81"/>
      <c r="K42" s="81"/>
      <c r="L42" s="81"/>
      <c r="M42" s="81"/>
      <c r="N42" s="81"/>
      <c r="O42" s="15"/>
      <c r="P42" s="1" t="str">
        <f>IF(SUM(P$26:P$36)-P$41=0,"","ERROR")</f>
        <v/>
      </c>
      <c r="Q42" s="1" t="str">
        <f>IF(SUM(Q$26:Q$36)-Q$41=0,"","ERROR")</f>
        <v/>
      </c>
      <c r="R42" s="15"/>
      <c r="S42" s="18"/>
      <c r="T42" s="1"/>
      <c r="U42" s="1"/>
      <c r="V42" s="1"/>
      <c r="W42" s="18"/>
      <c r="X42" s="75"/>
      <c r="Y42" s="61"/>
    </row>
    <row r="43" spans="1:37" s="2" customFormat="1" ht="18.5">
      <c r="A43" s="43">
        <v>28</v>
      </c>
      <c r="B43" s="19" t="s">
        <v>62</v>
      </c>
      <c r="C43" s="16"/>
      <c r="D43" s="15"/>
      <c r="E43" s="81"/>
      <c r="F43" s="81"/>
      <c r="G43" s="81"/>
      <c r="H43" s="81"/>
      <c r="I43" s="81"/>
      <c r="J43" s="81"/>
      <c r="K43" s="81"/>
      <c r="L43" s="81"/>
      <c r="M43" s="81"/>
      <c r="N43" s="81"/>
      <c r="O43" s="15"/>
      <c r="P43" s="624"/>
      <c r="Q43" s="17"/>
      <c r="R43" s="15"/>
      <c r="S43" s="18"/>
      <c r="T43" s="1"/>
      <c r="U43" s="15"/>
      <c r="V43" s="15"/>
      <c r="W43" s="18"/>
      <c r="X43" s="75"/>
      <c r="Y43" s="61"/>
    </row>
    <row r="44" spans="1:37">
      <c r="A44" s="43">
        <v>29</v>
      </c>
      <c r="B44" s="2" t="s">
        <v>16</v>
      </c>
      <c r="S44" s="5"/>
      <c r="X44" s="74"/>
      <c r="Y44" s="59"/>
    </row>
    <row r="45" spans="1:37" ht="29">
      <c r="A45" s="43">
        <v>30</v>
      </c>
      <c r="C45" s="430" t="s">
        <v>84</v>
      </c>
      <c r="D45" s="431"/>
      <c r="E45" s="432"/>
      <c r="F45" s="433"/>
      <c r="G45" s="433"/>
      <c r="H45" s="433"/>
      <c r="I45" s="433"/>
      <c r="J45" s="433"/>
      <c r="K45" s="433"/>
      <c r="L45" s="433"/>
      <c r="M45" s="433"/>
      <c r="N45" s="433"/>
      <c r="O45" s="430"/>
      <c r="P45" s="434">
        <v>2300</v>
      </c>
      <c r="Q45" s="434">
        <v>2000</v>
      </c>
      <c r="R45" s="435">
        <f t="shared" ref="R45:R55" si="8">+P45-Q45</f>
        <v>300</v>
      </c>
      <c r="S45" s="436">
        <f t="shared" ref="S45:S56" si="9">IF(Q45=0,"NA",(+P45-Q45)/Q45)</f>
        <v>0.15</v>
      </c>
      <c r="T45" s="430"/>
      <c r="U45" s="434">
        <v>670.36</v>
      </c>
      <c r="V45" s="434">
        <v>1277.76</v>
      </c>
      <c r="W45" s="436">
        <f t="shared" ref="W45:W56" si="10">IF(V45=0,"NA",(+U45-V45)/V45)</f>
        <v>-0.47536313548710241</v>
      </c>
      <c r="X45" s="437" t="s">
        <v>341</v>
      </c>
      <c r="Y45" s="58" t="s">
        <v>125</v>
      </c>
      <c r="AE45" s="1">
        <f>+$P45</f>
        <v>2300</v>
      </c>
      <c r="AI45" s="1">
        <f>+$U45</f>
        <v>670.36</v>
      </c>
    </row>
    <row r="46" spans="1:37" ht="29">
      <c r="C46" s="253"/>
      <c r="D46" s="265"/>
      <c r="E46" s="266"/>
      <c r="F46" s="267"/>
      <c r="G46" s="267"/>
      <c r="H46" s="267"/>
      <c r="I46" s="267"/>
      <c r="J46" s="267"/>
      <c r="K46" s="267"/>
      <c r="L46" s="267"/>
      <c r="M46" s="267"/>
      <c r="N46" s="267"/>
      <c r="O46" s="253"/>
      <c r="P46" s="250"/>
      <c r="Q46" s="250"/>
      <c r="R46" s="251"/>
      <c r="S46" s="252"/>
      <c r="T46" s="253"/>
      <c r="U46" s="250"/>
      <c r="V46" s="250"/>
      <c r="W46" s="252"/>
      <c r="X46" s="254" t="s">
        <v>331</v>
      </c>
      <c r="Y46" s="58"/>
    </row>
    <row r="47" spans="1:37" ht="43.5">
      <c r="A47" s="43">
        <v>31</v>
      </c>
      <c r="C47" s="263" t="s">
        <v>17</v>
      </c>
      <c r="D47" s="271"/>
      <c r="E47" s="272"/>
      <c r="F47" s="273"/>
      <c r="G47" s="273"/>
      <c r="H47" s="273"/>
      <c r="I47" s="273"/>
      <c r="J47" s="273"/>
      <c r="K47" s="273"/>
      <c r="L47" s="273"/>
      <c r="M47" s="273"/>
      <c r="N47" s="273"/>
      <c r="O47" s="263"/>
      <c r="P47" s="260">
        <v>1000</v>
      </c>
      <c r="Q47" s="260">
        <v>1000</v>
      </c>
      <c r="R47" s="261">
        <f t="shared" si="8"/>
        <v>0</v>
      </c>
      <c r="S47" s="262">
        <f t="shared" si="9"/>
        <v>0</v>
      </c>
      <c r="T47" s="263"/>
      <c r="U47" s="260">
        <v>0</v>
      </c>
      <c r="V47" s="260">
        <v>0</v>
      </c>
      <c r="W47" s="262" t="str">
        <f t="shared" si="10"/>
        <v>NA</v>
      </c>
      <c r="X47" s="264" t="s">
        <v>365</v>
      </c>
      <c r="Y47" s="62" t="s">
        <v>126</v>
      </c>
      <c r="AE47" s="1">
        <f t="shared" ref="AE47:AE55" si="11">+$P47</f>
        <v>1000</v>
      </c>
      <c r="AI47" s="1">
        <f t="shared" ref="AI47:AI55" si="12">+$U47</f>
        <v>0</v>
      </c>
    </row>
    <row r="48" spans="1:37">
      <c r="C48" s="430"/>
      <c r="D48" s="431"/>
      <c r="E48" s="432"/>
      <c r="F48" s="433"/>
      <c r="G48" s="433"/>
      <c r="H48" s="433"/>
      <c r="I48" s="433"/>
      <c r="J48" s="433"/>
      <c r="K48" s="433"/>
      <c r="L48" s="433"/>
      <c r="M48" s="433"/>
      <c r="N48" s="433"/>
      <c r="O48" s="430"/>
      <c r="P48" s="434"/>
      <c r="Q48" s="434"/>
      <c r="R48" s="435"/>
      <c r="S48" s="436"/>
      <c r="T48" s="430"/>
      <c r="U48" s="434"/>
      <c r="V48" s="434"/>
      <c r="W48" s="436"/>
      <c r="X48" s="603" t="s">
        <v>366</v>
      </c>
      <c r="Y48" s="62"/>
    </row>
    <row r="49" spans="1:35" ht="29">
      <c r="C49" s="253"/>
      <c r="D49" s="265"/>
      <c r="E49" s="266"/>
      <c r="F49" s="267"/>
      <c r="G49" s="267"/>
      <c r="H49" s="267"/>
      <c r="I49" s="267"/>
      <c r="J49" s="267"/>
      <c r="K49" s="267"/>
      <c r="L49" s="267"/>
      <c r="M49" s="267"/>
      <c r="N49" s="267"/>
      <c r="O49" s="253"/>
      <c r="P49" s="250"/>
      <c r="Q49" s="250"/>
      <c r="R49" s="251"/>
      <c r="S49" s="252"/>
      <c r="T49" s="253"/>
      <c r="U49" s="250"/>
      <c r="V49" s="250"/>
      <c r="W49" s="252"/>
      <c r="X49" s="254" t="s">
        <v>332</v>
      </c>
      <c r="Y49" s="62"/>
    </row>
    <row r="50" spans="1:35" ht="29">
      <c r="A50" s="43">
        <v>32</v>
      </c>
      <c r="C50" s="263" t="s">
        <v>363</v>
      </c>
      <c r="D50" s="271"/>
      <c r="E50" s="272"/>
      <c r="F50" s="273"/>
      <c r="G50" s="273"/>
      <c r="H50" s="273"/>
      <c r="I50" s="273"/>
      <c r="J50" s="273"/>
      <c r="K50" s="273"/>
      <c r="L50" s="273"/>
      <c r="M50" s="273"/>
      <c r="N50" s="273"/>
      <c r="O50" s="263"/>
      <c r="P50" s="260">
        <v>250</v>
      </c>
      <c r="Q50" s="260">
        <v>1000</v>
      </c>
      <c r="R50" s="261">
        <f t="shared" si="8"/>
        <v>-750</v>
      </c>
      <c r="S50" s="262">
        <f t="shared" si="9"/>
        <v>-0.75</v>
      </c>
      <c r="T50" s="263"/>
      <c r="U50" s="260">
        <v>0</v>
      </c>
      <c r="V50" s="260">
        <v>0</v>
      </c>
      <c r="W50" s="262" t="str">
        <f t="shared" si="10"/>
        <v>NA</v>
      </c>
      <c r="X50" s="264" t="s">
        <v>364</v>
      </c>
      <c r="Y50" s="62" t="s">
        <v>127</v>
      </c>
      <c r="AE50" s="1">
        <f t="shared" si="11"/>
        <v>250</v>
      </c>
      <c r="AI50" s="1">
        <f t="shared" si="12"/>
        <v>0</v>
      </c>
    </row>
    <row r="51" spans="1:35" ht="43.5">
      <c r="C51" s="253"/>
      <c r="D51" s="265"/>
      <c r="E51" s="266"/>
      <c r="F51" s="267"/>
      <c r="G51" s="267"/>
      <c r="H51" s="267"/>
      <c r="I51" s="267"/>
      <c r="J51" s="267"/>
      <c r="K51" s="267"/>
      <c r="L51" s="267"/>
      <c r="M51" s="267"/>
      <c r="N51" s="267"/>
      <c r="O51" s="253"/>
      <c r="P51" s="250"/>
      <c r="Q51" s="250"/>
      <c r="R51" s="251"/>
      <c r="S51" s="252"/>
      <c r="T51" s="253"/>
      <c r="U51" s="250"/>
      <c r="V51" s="250"/>
      <c r="W51" s="252"/>
      <c r="X51" s="437" t="s">
        <v>333</v>
      </c>
      <c r="Y51" s="62"/>
    </row>
    <row r="52" spans="1:35" ht="29">
      <c r="A52" s="43">
        <v>33</v>
      </c>
      <c r="C52" s="258" t="s">
        <v>18</v>
      </c>
      <c r="D52" s="268"/>
      <c r="E52" s="269"/>
      <c r="F52" s="270"/>
      <c r="G52" s="270"/>
      <c r="H52" s="270"/>
      <c r="I52" s="270"/>
      <c r="J52" s="270"/>
      <c r="K52" s="270"/>
      <c r="L52" s="270"/>
      <c r="M52" s="270"/>
      <c r="N52" s="270"/>
      <c r="O52" s="258"/>
      <c r="P52" s="255">
        <v>300</v>
      </c>
      <c r="Q52" s="255">
        <v>300</v>
      </c>
      <c r="R52" s="256">
        <f t="shared" si="8"/>
        <v>0</v>
      </c>
      <c r="S52" s="257">
        <f t="shared" si="9"/>
        <v>0</v>
      </c>
      <c r="T52" s="258"/>
      <c r="U52" s="255">
        <v>0</v>
      </c>
      <c r="V52" s="255">
        <v>0</v>
      </c>
      <c r="W52" s="257" t="str">
        <f t="shared" si="10"/>
        <v>NA</v>
      </c>
      <c r="X52" s="259" t="s">
        <v>367</v>
      </c>
      <c r="Y52" s="58" t="s">
        <v>128</v>
      </c>
      <c r="AE52" s="1">
        <f t="shared" si="11"/>
        <v>300</v>
      </c>
      <c r="AI52" s="1">
        <f t="shared" si="12"/>
        <v>0</v>
      </c>
    </row>
    <row r="53" spans="1:35" ht="14.5" customHeight="1">
      <c r="A53" s="43">
        <v>34</v>
      </c>
      <c r="C53" s="258" t="s">
        <v>330</v>
      </c>
      <c r="D53" s="268"/>
      <c r="E53" s="269"/>
      <c r="F53" s="270"/>
      <c r="G53" s="270"/>
      <c r="H53" s="270"/>
      <c r="I53" s="270"/>
      <c r="J53" s="270"/>
      <c r="K53" s="270"/>
      <c r="L53" s="270"/>
      <c r="M53" s="270"/>
      <c r="N53" s="270"/>
      <c r="O53" s="258"/>
      <c r="P53" s="255">
        <v>200</v>
      </c>
      <c r="Q53" s="255">
        <v>200</v>
      </c>
      <c r="R53" s="256">
        <f t="shared" si="8"/>
        <v>0</v>
      </c>
      <c r="S53" s="257">
        <f t="shared" si="9"/>
        <v>0</v>
      </c>
      <c r="T53" s="258"/>
      <c r="U53" s="255">
        <v>76.92</v>
      </c>
      <c r="V53" s="255">
        <v>200</v>
      </c>
      <c r="W53" s="257">
        <f t="shared" si="10"/>
        <v>-0.61539999999999995</v>
      </c>
      <c r="X53" s="259" t="s">
        <v>334</v>
      </c>
      <c r="Y53" s="62" t="s">
        <v>129</v>
      </c>
      <c r="AE53" s="1">
        <f t="shared" si="11"/>
        <v>200</v>
      </c>
      <c r="AI53" s="1">
        <f t="shared" si="12"/>
        <v>76.92</v>
      </c>
    </row>
    <row r="54" spans="1:35" ht="43.5">
      <c r="C54" s="258" t="s">
        <v>108</v>
      </c>
      <c r="D54" s="268"/>
      <c r="E54" s="269"/>
      <c r="F54" s="270"/>
      <c r="G54" s="270"/>
      <c r="H54" s="270"/>
      <c r="I54" s="270"/>
      <c r="J54" s="270"/>
      <c r="K54" s="270"/>
      <c r="L54" s="270"/>
      <c r="M54" s="270"/>
      <c r="N54" s="270"/>
      <c r="O54" s="258"/>
      <c r="P54" s="255">
        <v>550</v>
      </c>
      <c r="Q54" s="255">
        <v>750</v>
      </c>
      <c r="R54" s="256">
        <f t="shared" si="8"/>
        <v>-200</v>
      </c>
      <c r="S54" s="257">
        <f>IF(Q54=0,"NA",(+P54-Q54)/Q54)</f>
        <v>-0.26666666666666666</v>
      </c>
      <c r="T54" s="258"/>
      <c r="U54" s="255">
        <v>28.32</v>
      </c>
      <c r="V54" s="255">
        <v>229.15</v>
      </c>
      <c r="W54" s="257">
        <f>IF(V54=0,"NA",(+U54-V54)/V54)</f>
        <v>-0.87641283002400183</v>
      </c>
      <c r="X54" s="259" t="s">
        <v>342</v>
      </c>
      <c r="Y54" s="62" t="s">
        <v>130</v>
      </c>
      <c r="AE54" s="1">
        <f t="shared" si="11"/>
        <v>550</v>
      </c>
      <c r="AI54" s="1">
        <f t="shared" si="12"/>
        <v>28.32</v>
      </c>
    </row>
    <row r="55" spans="1:35" ht="14.5" customHeight="1">
      <c r="A55" s="43">
        <v>35</v>
      </c>
      <c r="C55" s="258" t="s">
        <v>88</v>
      </c>
      <c r="D55" s="268"/>
      <c r="E55" s="269"/>
      <c r="F55" s="270"/>
      <c r="G55" s="270"/>
      <c r="H55" s="270"/>
      <c r="I55" s="270"/>
      <c r="J55" s="270"/>
      <c r="K55" s="270"/>
      <c r="L55" s="270"/>
      <c r="M55" s="270"/>
      <c r="N55" s="270"/>
      <c r="O55" s="258"/>
      <c r="P55" s="255">
        <v>250</v>
      </c>
      <c r="Q55" s="255">
        <v>200</v>
      </c>
      <c r="R55" s="256">
        <f t="shared" si="8"/>
        <v>50</v>
      </c>
      <c r="S55" s="257">
        <f t="shared" si="9"/>
        <v>0.25</v>
      </c>
      <c r="T55" s="258"/>
      <c r="U55" s="255">
        <v>0</v>
      </c>
      <c r="V55" s="255">
        <v>104.15</v>
      </c>
      <c r="W55" s="257">
        <f t="shared" si="10"/>
        <v>-1</v>
      </c>
      <c r="X55" s="259" t="s">
        <v>368</v>
      </c>
      <c r="Y55" s="62" t="s">
        <v>131</v>
      </c>
      <c r="AE55" s="1">
        <f t="shared" si="11"/>
        <v>250</v>
      </c>
      <c r="AI55" s="1">
        <f t="shared" si="12"/>
        <v>0</v>
      </c>
    </row>
    <row r="56" spans="1:35" s="2" customFormat="1">
      <c r="A56" s="43">
        <v>36</v>
      </c>
      <c r="B56" s="20" t="s">
        <v>20</v>
      </c>
      <c r="C56" s="20"/>
      <c r="D56" s="37"/>
      <c r="E56" s="86"/>
      <c r="F56" s="86"/>
      <c r="G56" s="86"/>
      <c r="H56" s="86"/>
      <c r="I56" s="86"/>
      <c r="J56" s="86"/>
      <c r="K56" s="86"/>
      <c r="L56" s="86"/>
      <c r="M56" s="86"/>
      <c r="N56" s="86"/>
      <c r="O56" s="37"/>
      <c r="P56" s="20">
        <f>SUM(P45:P55)</f>
        <v>4850</v>
      </c>
      <c r="Q56" s="37">
        <f>SUM(Q45:Q55)</f>
        <v>5450</v>
      </c>
      <c r="R56" s="37">
        <f>SUM(R45:R55)</f>
        <v>-600</v>
      </c>
      <c r="S56" s="21">
        <f t="shared" si="9"/>
        <v>-0.11009174311926606</v>
      </c>
      <c r="U56" s="37">
        <f>SUM(U45:U55)</f>
        <v>775.6</v>
      </c>
      <c r="V56" s="37">
        <f>SUM(V45:V55)</f>
        <v>1811.0600000000002</v>
      </c>
      <c r="W56" s="21">
        <f t="shared" si="10"/>
        <v>-0.57174251543295085</v>
      </c>
      <c r="X56" s="260"/>
      <c r="Y56" s="61"/>
    </row>
    <row r="57" spans="1:35" ht="6" customHeight="1">
      <c r="A57" s="43">
        <v>37</v>
      </c>
      <c r="S57" s="5"/>
      <c r="X57" s="74"/>
      <c r="Y57" s="59"/>
    </row>
    <row r="58" spans="1:35">
      <c r="A58" s="43">
        <v>40</v>
      </c>
      <c r="B58" s="2" t="s">
        <v>153</v>
      </c>
      <c r="S58" s="5"/>
      <c r="X58" s="74"/>
      <c r="Y58" s="59"/>
    </row>
    <row r="59" spans="1:35" ht="41.5" customHeight="1">
      <c r="A59" s="43">
        <v>41</v>
      </c>
      <c r="C59" s="253" t="s">
        <v>21</v>
      </c>
      <c r="D59" s="265"/>
      <c r="E59" s="266"/>
      <c r="F59" s="267"/>
      <c r="G59" s="267"/>
      <c r="H59" s="267"/>
      <c r="I59" s="267"/>
      <c r="J59" s="267"/>
      <c r="K59" s="267"/>
      <c r="L59" s="267"/>
      <c r="M59" s="267"/>
      <c r="N59" s="267"/>
      <c r="O59" s="253"/>
      <c r="P59" s="278">
        <v>3500</v>
      </c>
      <c r="Q59" s="278">
        <f>5000-1000</f>
        <v>4000</v>
      </c>
      <c r="R59" s="251">
        <f>+P59-Q59</f>
        <v>-500</v>
      </c>
      <c r="S59" s="252">
        <f>IF(Q59=0,"NA",(+P59-Q59)/Q59)</f>
        <v>-0.125</v>
      </c>
      <c r="T59" s="253"/>
      <c r="U59" s="250">
        <v>562.25</v>
      </c>
      <c r="V59" s="250">
        <v>1458.35</v>
      </c>
      <c r="W59" s="252">
        <f>IF(V59=0,"NA",(+U59-V59)/V59)</f>
        <v>-0.61446154901086847</v>
      </c>
      <c r="X59" s="254" t="s">
        <v>336</v>
      </c>
      <c r="Y59" s="62" t="s">
        <v>145</v>
      </c>
      <c r="AD59" s="1">
        <f>+$P59</f>
        <v>3500</v>
      </c>
      <c r="AH59" s="1">
        <f>+$U59</f>
        <v>562.25</v>
      </c>
    </row>
    <row r="60" spans="1:35" hidden="1">
      <c r="C60" s="258" t="s">
        <v>158</v>
      </c>
      <c r="D60" s="268"/>
      <c r="E60" s="269"/>
      <c r="F60" s="270"/>
      <c r="G60" s="270"/>
      <c r="H60" s="270"/>
      <c r="I60" s="270"/>
      <c r="J60" s="270"/>
      <c r="K60" s="270"/>
      <c r="L60" s="270"/>
      <c r="M60" s="270"/>
      <c r="N60" s="270"/>
      <c r="O60" s="258"/>
      <c r="P60" s="255">
        <v>0</v>
      </c>
      <c r="Q60" s="255">
        <v>0</v>
      </c>
      <c r="R60" s="256">
        <f>+P60-Q60</f>
        <v>0</v>
      </c>
      <c r="S60" s="257" t="str">
        <f>IF(Q60=0,"NA",(+P60-Q60)/Q60)</f>
        <v>NA</v>
      </c>
      <c r="T60" s="258"/>
      <c r="U60" s="255">
        <v>0</v>
      </c>
      <c r="V60" s="255">
        <v>0</v>
      </c>
      <c r="W60" s="257" t="str">
        <f>IF(V60=0,"NA",(+U60-V60)/V60)</f>
        <v>NA</v>
      </c>
      <c r="X60" s="259" t="s">
        <v>159</v>
      </c>
      <c r="Y60" s="62"/>
      <c r="AD60" s="1">
        <f>+$P60</f>
        <v>0</v>
      </c>
      <c r="AH60" s="1">
        <f>+$U60</f>
        <v>0</v>
      </c>
    </row>
    <row r="61" spans="1:35">
      <c r="A61" s="43">
        <v>43</v>
      </c>
      <c r="C61" s="258" t="s">
        <v>22</v>
      </c>
      <c r="D61" s="268"/>
      <c r="E61" s="269"/>
      <c r="F61" s="270"/>
      <c r="G61" s="270"/>
      <c r="H61" s="270"/>
      <c r="I61" s="270"/>
      <c r="J61" s="270"/>
      <c r="K61" s="270"/>
      <c r="L61" s="270"/>
      <c r="M61" s="270"/>
      <c r="N61" s="270"/>
      <c r="O61" s="258"/>
      <c r="P61" s="255">
        <v>100</v>
      </c>
      <c r="Q61" s="255">
        <v>100</v>
      </c>
      <c r="R61" s="256">
        <f>+P61-Q61</f>
        <v>0</v>
      </c>
      <c r="S61" s="257">
        <f>IF(Q61=0,"NA",(+P61-Q61)/Q61)</f>
        <v>0</v>
      </c>
      <c r="T61" s="258"/>
      <c r="U61" s="255">
        <v>0</v>
      </c>
      <c r="V61" s="255">
        <v>41.65</v>
      </c>
      <c r="W61" s="257">
        <f>IF(V61=0,"NA",(+U61-V61)/V61)</f>
        <v>-1</v>
      </c>
      <c r="X61" s="259" t="s">
        <v>335</v>
      </c>
      <c r="Y61" s="58" t="s">
        <v>144</v>
      </c>
      <c r="AD61" s="1">
        <f>+$P61</f>
        <v>100</v>
      </c>
      <c r="AH61" s="1">
        <f>+$U61</f>
        <v>0</v>
      </c>
    </row>
    <row r="62" spans="1:35">
      <c r="A62" s="43">
        <v>44</v>
      </c>
      <c r="C62" s="258" t="s">
        <v>23</v>
      </c>
      <c r="D62" s="268"/>
      <c r="E62" s="269"/>
      <c r="F62" s="270"/>
      <c r="G62" s="270"/>
      <c r="H62" s="270"/>
      <c r="I62" s="270"/>
      <c r="J62" s="270"/>
      <c r="K62" s="270"/>
      <c r="L62" s="270"/>
      <c r="M62" s="270"/>
      <c r="N62" s="270"/>
      <c r="O62" s="258"/>
      <c r="P62" s="255">
        <v>200</v>
      </c>
      <c r="Q62" s="255">
        <v>200</v>
      </c>
      <c r="R62" s="256">
        <f>+P62-Q62</f>
        <v>0</v>
      </c>
      <c r="S62" s="257">
        <f>IF(Q62=0,"NA",(+P62-Q62)/Q62)</f>
        <v>0</v>
      </c>
      <c r="T62" s="258"/>
      <c r="U62" s="255">
        <v>97.5</v>
      </c>
      <c r="V62" s="255">
        <v>83.35</v>
      </c>
      <c r="W62" s="257">
        <f>IF(V62=0,"NA",(+U62-V62)/V62)</f>
        <v>0.16976604679064194</v>
      </c>
      <c r="X62" s="259" t="s">
        <v>335</v>
      </c>
      <c r="Y62" s="59"/>
      <c r="AD62" s="1">
        <f>+$P62</f>
        <v>200</v>
      </c>
      <c r="AH62" s="1">
        <f>+$U62</f>
        <v>97.5</v>
      </c>
    </row>
    <row r="63" spans="1:35" s="2" customFormat="1">
      <c r="A63" s="43">
        <v>45</v>
      </c>
      <c r="B63" s="20" t="s">
        <v>154</v>
      </c>
      <c r="C63" s="20"/>
      <c r="D63" s="37"/>
      <c r="E63" s="86"/>
      <c r="F63" s="86"/>
      <c r="G63" s="86"/>
      <c r="H63" s="86"/>
      <c r="I63" s="86"/>
      <c r="J63" s="86"/>
      <c r="K63" s="86"/>
      <c r="L63" s="86"/>
      <c r="M63" s="86"/>
      <c r="N63" s="86"/>
      <c r="O63" s="37"/>
      <c r="P63" s="20">
        <f>SUM(P59:P62)</f>
        <v>3800</v>
      </c>
      <c r="Q63" s="37">
        <f>SUM(Q59:Q62)</f>
        <v>4300</v>
      </c>
      <c r="R63" s="37">
        <f>SUM(R59:R62)</f>
        <v>-500</v>
      </c>
      <c r="S63" s="21">
        <f>IF(Q63=0,"NA",(+P63-Q63)/Q63)</f>
        <v>-0.11627906976744186</v>
      </c>
      <c r="U63" s="37">
        <f>SUM(U59:U62)</f>
        <v>659.75</v>
      </c>
      <c r="V63" s="37">
        <f>SUM(V59:V62)</f>
        <v>1583.35</v>
      </c>
      <c r="W63" s="21">
        <f>IF(V63=0,"NA",(+U63-V63)/V63)</f>
        <v>-0.58332017557709914</v>
      </c>
      <c r="X63" s="74"/>
      <c r="Y63" s="59"/>
    </row>
    <row r="64" spans="1:35" ht="6.75" customHeight="1">
      <c r="A64" s="43">
        <v>46</v>
      </c>
      <c r="D64" s="1"/>
      <c r="E64" s="39"/>
      <c r="S64" s="5"/>
      <c r="X64" s="74"/>
      <c r="Y64" s="59"/>
    </row>
    <row r="65" spans="1:36" s="2" customFormat="1">
      <c r="A65" s="43">
        <v>51</v>
      </c>
      <c r="B65" s="20" t="s">
        <v>24</v>
      </c>
      <c r="C65" s="20"/>
      <c r="D65" s="37"/>
      <c r="E65" s="86"/>
      <c r="F65" s="86"/>
      <c r="G65" s="86"/>
      <c r="H65" s="86"/>
      <c r="I65" s="86"/>
      <c r="J65" s="86"/>
      <c r="K65" s="86"/>
      <c r="L65" s="86"/>
      <c r="M65" s="86"/>
      <c r="N65" s="86"/>
      <c r="O65" s="37"/>
      <c r="P65" s="48">
        <v>12800</v>
      </c>
      <c r="Q65" s="48">
        <v>12800</v>
      </c>
      <c r="R65" s="45">
        <f>+P65-Q65</f>
        <v>0</v>
      </c>
      <c r="S65" s="21">
        <f>IF(Q65=0,"NA",(+P65-Q65)/Q65)</f>
        <v>0</v>
      </c>
      <c r="U65" s="48">
        <v>1544.17</v>
      </c>
      <c r="V65" s="48">
        <v>5333.35</v>
      </c>
      <c r="W65" s="21">
        <f>IF(V65=0,"NA",(+U65-V65)/V65)</f>
        <v>-0.71046902978428195</v>
      </c>
      <c r="X65" s="62" t="s">
        <v>359</v>
      </c>
      <c r="Y65" s="58"/>
      <c r="AE65" s="1">
        <f>+$P65</f>
        <v>12800</v>
      </c>
      <c r="AI65" s="1">
        <f>+$U65</f>
        <v>1544.17</v>
      </c>
    </row>
    <row r="66" spans="1:36" s="2" customFormat="1" ht="43.5">
      <c r="A66" s="43"/>
      <c r="B66" s="37"/>
      <c r="C66" s="37"/>
      <c r="D66" s="37"/>
      <c r="E66" s="86"/>
      <c r="F66" s="86"/>
      <c r="G66" s="86"/>
      <c r="H66" s="86"/>
      <c r="I66" s="86"/>
      <c r="J66" s="86"/>
      <c r="K66" s="86"/>
      <c r="L66" s="86"/>
      <c r="M66" s="86"/>
      <c r="N66" s="86"/>
      <c r="O66" s="37"/>
      <c r="P66" s="48"/>
      <c r="Q66" s="48"/>
      <c r="R66" s="45"/>
      <c r="S66" s="21"/>
      <c r="U66" s="48"/>
      <c r="V66" s="48"/>
      <c r="W66" s="21"/>
      <c r="X66" s="62" t="s">
        <v>358</v>
      </c>
      <c r="Y66" s="58"/>
      <c r="AE66" s="1"/>
      <c r="AI66" s="1"/>
    </row>
    <row r="67" spans="1:36" ht="6.75" customHeight="1">
      <c r="A67" s="43">
        <v>52</v>
      </c>
      <c r="S67" s="5"/>
      <c r="X67" s="74"/>
      <c r="Y67" s="59"/>
    </row>
    <row r="68" spans="1:36">
      <c r="A68" s="43">
        <v>53</v>
      </c>
      <c r="B68" s="2" t="s">
        <v>94</v>
      </c>
      <c r="S68" s="5"/>
      <c r="X68" s="74"/>
      <c r="Y68" s="59"/>
    </row>
    <row r="69" spans="1:36" ht="29">
      <c r="A69" s="43">
        <v>54</v>
      </c>
      <c r="C69" s="253" t="s">
        <v>96</v>
      </c>
      <c r="D69" s="265"/>
      <c r="E69" s="266"/>
      <c r="F69" s="267"/>
      <c r="G69" s="267"/>
      <c r="H69" s="267"/>
      <c r="I69" s="267"/>
      <c r="J69" s="267"/>
      <c r="K69" s="267"/>
      <c r="L69" s="267"/>
      <c r="M69" s="267"/>
      <c r="N69" s="267"/>
      <c r="O69" s="253"/>
      <c r="P69" s="250">
        <v>400</v>
      </c>
      <c r="Q69" s="250">
        <v>400</v>
      </c>
      <c r="R69" s="251">
        <f>+P69-Q69</f>
        <v>0</v>
      </c>
      <c r="S69" s="252">
        <f>IF(Q69=0,"NA",(+P69-Q69)/Q69)</f>
        <v>0</v>
      </c>
      <c r="T69" s="253"/>
      <c r="U69" s="250">
        <v>0</v>
      </c>
      <c r="V69" s="250">
        <v>166.65</v>
      </c>
      <c r="W69" s="252">
        <f>IF(V69=0,"NA",(+U69-V69)/V69)</f>
        <v>-1</v>
      </c>
      <c r="X69" s="254" t="s">
        <v>337</v>
      </c>
      <c r="Y69" s="58"/>
      <c r="AD69" s="1">
        <f>+$P69</f>
        <v>400</v>
      </c>
      <c r="AH69" s="1">
        <f>+$U69</f>
        <v>0</v>
      </c>
    </row>
    <row r="70" spans="1:36">
      <c r="A70" s="43">
        <v>55</v>
      </c>
      <c r="C70" s="258" t="s">
        <v>91</v>
      </c>
      <c r="D70" s="268"/>
      <c r="E70" s="269"/>
      <c r="F70" s="270"/>
      <c r="G70" s="270"/>
      <c r="H70" s="270"/>
      <c r="I70" s="270"/>
      <c r="J70" s="270"/>
      <c r="K70" s="270"/>
      <c r="L70" s="270"/>
      <c r="M70" s="270"/>
      <c r="N70" s="270"/>
      <c r="O70" s="258"/>
      <c r="P70" s="255">
        <v>150</v>
      </c>
      <c r="Q70" s="255">
        <v>150</v>
      </c>
      <c r="R70" s="256">
        <f>+P70-Q70</f>
        <v>0</v>
      </c>
      <c r="S70" s="257">
        <f>IF(Q70=0,"NA",(+P70-Q70)/Q70)</f>
        <v>0</v>
      </c>
      <c r="T70" s="258"/>
      <c r="U70" s="255">
        <v>25.7</v>
      </c>
      <c r="V70" s="255">
        <v>62.5</v>
      </c>
      <c r="W70" s="257">
        <f>IF(V70=0,"NA",(+U70-V70)/V70)</f>
        <v>-0.58879999999999999</v>
      </c>
      <c r="X70" s="259" t="s">
        <v>338</v>
      </c>
      <c r="Y70" s="58"/>
      <c r="AD70" s="1">
        <f>+$P70</f>
        <v>150</v>
      </c>
      <c r="AH70" s="1">
        <f>+$U70</f>
        <v>25.7</v>
      </c>
    </row>
    <row r="71" spans="1:36" s="2" customFormat="1">
      <c r="A71" s="43">
        <v>56</v>
      </c>
      <c r="B71" s="20" t="s">
        <v>90</v>
      </c>
      <c r="C71" s="20"/>
      <c r="D71" s="37"/>
      <c r="E71" s="86"/>
      <c r="F71" s="86"/>
      <c r="G71" s="86"/>
      <c r="H71" s="86"/>
      <c r="I71" s="86"/>
      <c r="J71" s="86"/>
      <c r="K71" s="86"/>
      <c r="L71" s="86"/>
      <c r="M71" s="86"/>
      <c r="N71" s="86"/>
      <c r="O71" s="37"/>
      <c r="P71" s="20">
        <f>SUM(P69:P70)</f>
        <v>550</v>
      </c>
      <c r="Q71" s="37">
        <f>SUM(Q69:Q70)</f>
        <v>550</v>
      </c>
      <c r="R71" s="37">
        <f>SUM(R69:R70)</f>
        <v>0</v>
      </c>
      <c r="S71" s="21">
        <f>IF(Q71=0,"NA",(+P71-Q71)/Q71)</f>
        <v>0</v>
      </c>
      <c r="U71" s="37">
        <f>SUM(U69:U70)</f>
        <v>25.7</v>
      </c>
      <c r="V71" s="37">
        <f>SUM(V69:V70)</f>
        <v>229.15</v>
      </c>
      <c r="W71" s="21">
        <f>IF(V71=0,"NA",(+U71-V71)/V71)</f>
        <v>-0.88784638882827849</v>
      </c>
      <c r="X71" s="75"/>
      <c r="Y71" s="61"/>
    </row>
    <row r="72" spans="1:36" ht="5.25" customHeight="1">
      <c r="A72" s="43">
        <v>57</v>
      </c>
      <c r="S72" s="5"/>
      <c r="X72" s="74"/>
      <c r="Y72" s="59"/>
    </row>
    <row r="73" spans="1:36" ht="29">
      <c r="A73" s="43">
        <v>58</v>
      </c>
      <c r="B73" s="37" t="s">
        <v>449</v>
      </c>
      <c r="C73" s="22"/>
      <c r="D73" s="22"/>
      <c r="E73" s="87"/>
      <c r="F73" s="87"/>
      <c r="G73" s="87"/>
      <c r="H73" s="87"/>
      <c r="I73" s="87"/>
      <c r="J73" s="87"/>
      <c r="K73" s="87"/>
      <c r="L73" s="87"/>
      <c r="M73" s="87"/>
      <c r="N73" s="87"/>
      <c r="O73" s="22"/>
      <c r="P73" s="53">
        <v>200</v>
      </c>
      <c r="Q73" s="53">
        <v>200</v>
      </c>
      <c r="R73" s="45">
        <f>+P73-Q73</f>
        <v>0</v>
      </c>
      <c r="S73" s="21">
        <f>IF(Q73=0,"NA",(+P73-Q73)/Q73)</f>
        <v>0</v>
      </c>
      <c r="U73" s="53">
        <v>27.04</v>
      </c>
      <c r="V73" s="53">
        <v>83.35</v>
      </c>
      <c r="W73" s="21">
        <f>IF(V73=0,"NA",(+U73-V73)/V73)</f>
        <v>-0.67558488302339526</v>
      </c>
      <c r="X73" s="62" t="s">
        <v>422</v>
      </c>
      <c r="Y73" s="58" t="s">
        <v>119</v>
      </c>
      <c r="AF73" s="1">
        <f>+$P73</f>
        <v>200</v>
      </c>
      <c r="AJ73" s="1">
        <f>+$U73</f>
        <v>27.04</v>
      </c>
    </row>
    <row r="74" spans="1:36" ht="6" customHeight="1">
      <c r="A74" s="43">
        <v>59</v>
      </c>
      <c r="S74" s="5"/>
      <c r="X74" s="74"/>
      <c r="Y74" s="59"/>
    </row>
    <row r="75" spans="1:36">
      <c r="A75" s="43">
        <v>60</v>
      </c>
      <c r="B75" s="2" t="s">
        <v>26</v>
      </c>
      <c r="S75" s="5"/>
      <c r="X75" s="74"/>
      <c r="Y75" s="59"/>
    </row>
    <row r="76" spans="1:36">
      <c r="A76" s="43">
        <v>61</v>
      </c>
      <c r="C76" s="253" t="s">
        <v>27</v>
      </c>
      <c r="D76" s="265"/>
      <c r="E76" s="266"/>
      <c r="F76" s="267"/>
      <c r="G76" s="267"/>
      <c r="H76" s="267"/>
      <c r="I76" s="267"/>
      <c r="J76" s="267"/>
      <c r="K76" s="267"/>
      <c r="L76" s="267"/>
      <c r="M76" s="267"/>
      <c r="N76" s="267"/>
      <c r="O76" s="253"/>
      <c r="P76" s="278">
        <v>200</v>
      </c>
      <c r="Q76" s="278">
        <v>200</v>
      </c>
      <c r="R76" s="251">
        <f t="shared" ref="R76:R81" si="13">+P76-Q76</f>
        <v>0</v>
      </c>
      <c r="S76" s="252">
        <f t="shared" ref="S76:S83" si="14">IF(Q76=0,"NA",(+P76-Q76)/Q76)</f>
        <v>0</v>
      </c>
      <c r="T76" s="253"/>
      <c r="U76" s="250">
        <v>0</v>
      </c>
      <c r="V76" s="250">
        <v>0</v>
      </c>
      <c r="W76" s="252" t="str">
        <f t="shared" ref="W76:W83" si="15">IF(V76=0,"NA",(+U76-V76)/V76)</f>
        <v>NA</v>
      </c>
      <c r="X76" s="254"/>
      <c r="Y76" s="59"/>
      <c r="AD76" s="1">
        <f>+$P76</f>
        <v>200</v>
      </c>
      <c r="AH76" s="1">
        <f>+$U76</f>
        <v>0</v>
      </c>
    </row>
    <row r="77" spans="1:36" ht="15.5">
      <c r="A77" s="43">
        <v>62</v>
      </c>
      <c r="C77" s="258" t="s">
        <v>28</v>
      </c>
      <c r="D77" s="268"/>
      <c r="E77" s="269"/>
      <c r="F77" s="270"/>
      <c r="G77" s="270"/>
      <c r="H77" s="270"/>
      <c r="I77" s="270"/>
      <c r="J77" s="270"/>
      <c r="K77" s="270"/>
      <c r="L77" s="270"/>
      <c r="M77" s="270"/>
      <c r="N77" s="270"/>
      <c r="O77" s="258"/>
      <c r="P77" s="276">
        <v>700</v>
      </c>
      <c r="Q77" s="276">
        <v>800</v>
      </c>
      <c r="R77" s="256">
        <f t="shared" si="13"/>
        <v>-100</v>
      </c>
      <c r="S77" s="257">
        <f t="shared" si="14"/>
        <v>-0.125</v>
      </c>
      <c r="T77" s="258"/>
      <c r="U77" s="255">
        <v>0</v>
      </c>
      <c r="V77" s="255">
        <v>0</v>
      </c>
      <c r="W77" s="257" t="str">
        <f t="shared" si="15"/>
        <v>NA</v>
      </c>
      <c r="X77" s="259"/>
      <c r="Y77" s="63" t="s">
        <v>118</v>
      </c>
      <c r="AD77" s="1">
        <f>+$P77</f>
        <v>700</v>
      </c>
      <c r="AH77" s="1">
        <f>+$U77</f>
        <v>0</v>
      </c>
    </row>
    <row r="78" spans="1:36" ht="58">
      <c r="A78" s="43">
        <v>63</v>
      </c>
      <c r="C78" s="258" t="s">
        <v>29</v>
      </c>
      <c r="D78" s="268"/>
      <c r="E78" s="269"/>
      <c r="F78" s="270"/>
      <c r="G78" s="270"/>
      <c r="H78" s="270"/>
      <c r="I78" s="270"/>
      <c r="J78" s="270"/>
      <c r="K78" s="270"/>
      <c r="L78" s="270"/>
      <c r="M78" s="270"/>
      <c r="N78" s="270"/>
      <c r="O78" s="258"/>
      <c r="P78" s="276">
        <v>1000</v>
      </c>
      <c r="Q78" s="276">
        <v>1000</v>
      </c>
      <c r="R78" s="256">
        <f t="shared" si="13"/>
        <v>0</v>
      </c>
      <c r="S78" s="257">
        <f t="shared" si="14"/>
        <v>0</v>
      </c>
      <c r="T78" s="258"/>
      <c r="U78" s="255">
        <v>72</v>
      </c>
      <c r="V78" s="255">
        <v>1000</v>
      </c>
      <c r="W78" s="257">
        <f t="shared" si="15"/>
        <v>-0.92800000000000005</v>
      </c>
      <c r="X78" s="259" t="s">
        <v>369</v>
      </c>
      <c r="Y78" s="64"/>
      <c r="AF78" s="1">
        <f>+$P78</f>
        <v>1000</v>
      </c>
      <c r="AI78" s="1">
        <f t="shared" ref="AH78:AI81" si="16">+$U78</f>
        <v>72</v>
      </c>
    </row>
    <row r="79" spans="1:36" ht="29">
      <c r="A79" s="43">
        <v>64</v>
      </c>
      <c r="C79" s="258" t="s">
        <v>30</v>
      </c>
      <c r="D79" s="268"/>
      <c r="E79" s="269"/>
      <c r="F79" s="270"/>
      <c r="G79" s="270"/>
      <c r="H79" s="270"/>
      <c r="I79" s="270"/>
      <c r="J79" s="270"/>
      <c r="K79" s="270"/>
      <c r="L79" s="270"/>
      <c r="M79" s="270"/>
      <c r="N79" s="270"/>
      <c r="O79" s="258"/>
      <c r="P79" s="276">
        <v>3000</v>
      </c>
      <c r="Q79" s="276">
        <v>3000</v>
      </c>
      <c r="R79" s="256">
        <f t="shared" si="13"/>
        <v>0</v>
      </c>
      <c r="S79" s="257">
        <f t="shared" si="14"/>
        <v>0</v>
      </c>
      <c r="T79" s="258"/>
      <c r="U79" s="255">
        <v>0</v>
      </c>
      <c r="V79" s="255">
        <v>1250</v>
      </c>
      <c r="W79" s="257">
        <f t="shared" si="15"/>
        <v>-1</v>
      </c>
      <c r="X79" s="259" t="s">
        <v>446</v>
      </c>
      <c r="Y79" s="62"/>
      <c r="AF79" s="1">
        <f>+$P79</f>
        <v>3000</v>
      </c>
      <c r="AI79" s="1">
        <f t="shared" si="16"/>
        <v>0</v>
      </c>
    </row>
    <row r="80" spans="1:36">
      <c r="C80" s="258" t="s">
        <v>360</v>
      </c>
      <c r="D80" s="268"/>
      <c r="E80" s="269"/>
      <c r="F80" s="270"/>
      <c r="G80" s="270"/>
      <c r="H80" s="270"/>
      <c r="I80" s="270"/>
      <c r="J80" s="270"/>
      <c r="K80" s="270"/>
      <c r="L80" s="270"/>
      <c r="M80" s="270"/>
      <c r="N80" s="270"/>
      <c r="O80" s="258"/>
      <c r="P80" s="276">
        <v>200</v>
      </c>
      <c r="Q80" s="276">
        <v>200</v>
      </c>
      <c r="R80" s="256">
        <f>+P80-Q80</f>
        <v>0</v>
      </c>
      <c r="S80" s="257">
        <f>IF(Q80=0,"NA",(+P80-Q80)/Q80)</f>
        <v>0</v>
      </c>
      <c r="T80" s="258"/>
      <c r="U80" s="255">
        <v>0</v>
      </c>
      <c r="V80" s="255">
        <v>83.35</v>
      </c>
      <c r="W80" s="257">
        <f>IF(V80=0,"NA",(+U80-V80)/V80)</f>
        <v>-1</v>
      </c>
      <c r="X80" s="259"/>
      <c r="Y80" s="62"/>
      <c r="AD80" s="1">
        <f>+$P80</f>
        <v>200</v>
      </c>
      <c r="AH80" s="1">
        <f t="shared" si="16"/>
        <v>0</v>
      </c>
    </row>
    <row r="81" spans="1:34" ht="43.5">
      <c r="A81" s="43">
        <v>65</v>
      </c>
      <c r="C81" s="263" t="s">
        <v>117</v>
      </c>
      <c r="D81" s="271"/>
      <c r="E81" s="272"/>
      <c r="F81" s="273"/>
      <c r="G81" s="273"/>
      <c r="H81" s="273"/>
      <c r="I81" s="273"/>
      <c r="J81" s="273"/>
      <c r="K81" s="273"/>
      <c r="L81" s="273"/>
      <c r="M81" s="273"/>
      <c r="N81" s="273"/>
      <c r="O81" s="263"/>
      <c r="P81" s="277">
        <v>1575</v>
      </c>
      <c r="Q81" s="277">
        <v>1575</v>
      </c>
      <c r="R81" s="261">
        <f t="shared" si="13"/>
        <v>0</v>
      </c>
      <c r="S81" s="262">
        <f t="shared" si="14"/>
        <v>0</v>
      </c>
      <c r="T81" s="263"/>
      <c r="U81" s="277">
        <v>0</v>
      </c>
      <c r="V81" s="277">
        <v>656.25</v>
      </c>
      <c r="W81" s="262">
        <f t="shared" si="15"/>
        <v>-1</v>
      </c>
      <c r="X81" s="264" t="s">
        <v>339</v>
      </c>
      <c r="Y81" s="58" t="s">
        <v>118</v>
      </c>
      <c r="AD81" s="1">
        <f>+$P81</f>
        <v>1575</v>
      </c>
      <c r="AH81" s="1">
        <f t="shared" si="16"/>
        <v>0</v>
      </c>
    </row>
    <row r="82" spans="1:34" ht="43.5">
      <c r="C82" s="430"/>
      <c r="D82" s="431"/>
      <c r="E82" s="432"/>
      <c r="F82" s="433"/>
      <c r="G82" s="433"/>
      <c r="H82" s="433"/>
      <c r="I82" s="433"/>
      <c r="J82" s="433"/>
      <c r="K82" s="433"/>
      <c r="L82" s="433"/>
      <c r="M82" s="433"/>
      <c r="N82" s="433"/>
      <c r="O82" s="430"/>
      <c r="P82" s="438"/>
      <c r="Q82" s="438"/>
      <c r="R82" s="435"/>
      <c r="S82" s="436"/>
      <c r="T82" s="430"/>
      <c r="U82" s="438"/>
      <c r="V82" s="438"/>
      <c r="W82" s="436"/>
      <c r="X82" s="264" t="s">
        <v>197</v>
      </c>
      <c r="Y82" s="58"/>
    </row>
    <row r="83" spans="1:34" s="2" customFormat="1">
      <c r="A83" s="43">
        <v>66</v>
      </c>
      <c r="B83" s="20" t="s">
        <v>31</v>
      </c>
      <c r="C83" s="20"/>
      <c r="D83" s="37"/>
      <c r="E83" s="86"/>
      <c r="F83" s="86"/>
      <c r="G83" s="86"/>
      <c r="H83" s="86"/>
      <c r="I83" s="86"/>
      <c r="J83" s="86"/>
      <c r="K83" s="86"/>
      <c r="L83" s="86"/>
      <c r="M83" s="86"/>
      <c r="N83" s="86"/>
      <c r="O83" s="37"/>
      <c r="P83" s="20">
        <f>SUM(P76:P81)</f>
        <v>6675</v>
      </c>
      <c r="Q83" s="37">
        <f>SUM(Q76:Q81)</f>
        <v>6775</v>
      </c>
      <c r="R83" s="37">
        <f>SUM(R76:R81)</f>
        <v>-100</v>
      </c>
      <c r="S83" s="21">
        <f t="shared" si="14"/>
        <v>-1.4760147601476014E-2</v>
      </c>
      <c r="U83" s="37">
        <f>SUM(U76:U81)</f>
        <v>72</v>
      </c>
      <c r="V83" s="37">
        <f>SUM(V76:V81)</f>
        <v>2989.6</v>
      </c>
      <c r="W83" s="21">
        <f t="shared" si="15"/>
        <v>-0.97591651056997597</v>
      </c>
      <c r="X83" s="75"/>
      <c r="Y83" s="61"/>
    </row>
    <row r="84" spans="1:34" ht="6" customHeight="1">
      <c r="A84" s="43">
        <v>67</v>
      </c>
      <c r="S84" s="5"/>
      <c r="X84" s="74"/>
      <c r="Y84" s="59"/>
    </row>
    <row r="85" spans="1:34">
      <c r="A85" s="43">
        <v>68</v>
      </c>
      <c r="B85" s="2" t="s">
        <v>32</v>
      </c>
      <c r="S85" s="5"/>
      <c r="X85" s="74"/>
      <c r="Y85" s="59"/>
      <c r="AD85" s="618">
        <v>0.33300000000000002</v>
      </c>
      <c r="AE85" s="618">
        <v>0.33300000000000002</v>
      </c>
      <c r="AF85" s="618">
        <v>0.33400000000000002</v>
      </c>
    </row>
    <row r="86" spans="1:34" ht="14.4" customHeight="1">
      <c r="A86" s="43">
        <v>69</v>
      </c>
      <c r="C86" s="253" t="s">
        <v>33</v>
      </c>
      <c r="D86" s="265"/>
      <c r="E86" s="266"/>
      <c r="F86" s="267"/>
      <c r="G86" s="267"/>
      <c r="H86" s="267"/>
      <c r="I86" s="267"/>
      <c r="J86" s="267"/>
      <c r="K86" s="267"/>
      <c r="L86" s="267"/>
      <c r="M86" s="267"/>
      <c r="N86" s="267"/>
      <c r="O86" s="253"/>
      <c r="P86" s="278">
        <v>3500</v>
      </c>
      <c r="Q86" s="278">
        <v>3500</v>
      </c>
      <c r="R86" s="251">
        <f t="shared" ref="R86:R91" si="17">+P86-Q86</f>
        <v>0</v>
      </c>
      <c r="S86" s="252">
        <f t="shared" ref="S86:S93" si="18">IF(Q86=0,"NA",(+P86-Q86)/Q86)</f>
        <v>0</v>
      </c>
      <c r="T86" s="253"/>
      <c r="U86" s="250">
        <v>1578.93</v>
      </c>
      <c r="V86" s="250">
        <v>1458.35</v>
      </c>
      <c r="W86" s="252">
        <f t="shared" ref="W86:W93" si="19">IF(V86=0,"NA",(+U86-V86)/V86)</f>
        <v>8.2682483628758643E-2</v>
      </c>
      <c r="X86" s="254" t="s">
        <v>343</v>
      </c>
      <c r="Y86" s="62" t="s">
        <v>400</v>
      </c>
      <c r="AD86" s="1">
        <f>+$P86*AD$85</f>
        <v>1165.5</v>
      </c>
      <c r="AE86" s="1">
        <f t="shared" ref="AE86:AF91" si="20">+$P86*AE$85</f>
        <v>1165.5</v>
      </c>
      <c r="AF86" s="1">
        <f t="shared" si="20"/>
        <v>1169</v>
      </c>
      <c r="AH86" s="1">
        <f t="shared" ref="AH86:AH91" si="21">+$U86</f>
        <v>1578.93</v>
      </c>
    </row>
    <row r="87" spans="1:34">
      <c r="A87" s="43">
        <v>70</v>
      </c>
      <c r="C87" s="258" t="s">
        <v>34</v>
      </c>
      <c r="D87" s="268"/>
      <c r="E87" s="269"/>
      <c r="F87" s="270"/>
      <c r="G87" s="270"/>
      <c r="H87" s="270"/>
      <c r="I87" s="270"/>
      <c r="J87" s="270"/>
      <c r="K87" s="270"/>
      <c r="L87" s="270"/>
      <c r="M87" s="270"/>
      <c r="N87" s="270"/>
      <c r="O87" s="258"/>
      <c r="P87" s="255">
        <v>2250</v>
      </c>
      <c r="Q87" s="255">
        <v>3250</v>
      </c>
      <c r="R87" s="256">
        <f t="shared" si="17"/>
        <v>-1000</v>
      </c>
      <c r="S87" s="257">
        <f t="shared" si="18"/>
        <v>-0.30769230769230771</v>
      </c>
      <c r="T87" s="258"/>
      <c r="U87" s="255">
        <v>1277</v>
      </c>
      <c r="V87" s="255">
        <v>937.5</v>
      </c>
      <c r="W87" s="257">
        <f t="shared" si="19"/>
        <v>0.36213333333333331</v>
      </c>
      <c r="X87" s="259" t="s">
        <v>450</v>
      </c>
      <c r="Y87" s="62" t="s">
        <v>118</v>
      </c>
      <c r="AD87" s="1">
        <f>+$P87*AD$85</f>
        <v>749.25</v>
      </c>
      <c r="AE87" s="1">
        <f t="shared" si="20"/>
        <v>749.25</v>
      </c>
      <c r="AF87" s="1">
        <f t="shared" si="20"/>
        <v>751.5</v>
      </c>
      <c r="AH87" s="1">
        <f t="shared" si="21"/>
        <v>1277</v>
      </c>
    </row>
    <row r="88" spans="1:34" ht="45" customHeight="1">
      <c r="A88" s="43">
        <v>73</v>
      </c>
      <c r="C88" s="258" t="s">
        <v>35</v>
      </c>
      <c r="D88" s="268"/>
      <c r="E88" s="269"/>
      <c r="F88" s="270"/>
      <c r="G88" s="270"/>
      <c r="H88" s="270"/>
      <c r="I88" s="270"/>
      <c r="J88" s="270"/>
      <c r="K88" s="270"/>
      <c r="L88" s="270"/>
      <c r="M88" s="270"/>
      <c r="N88" s="270"/>
      <c r="O88" s="258"/>
      <c r="P88" s="276">
        <v>13000</v>
      </c>
      <c r="Q88" s="276">
        <v>13000</v>
      </c>
      <c r="R88" s="256">
        <f t="shared" si="17"/>
        <v>0</v>
      </c>
      <c r="S88" s="257">
        <f t="shared" si="18"/>
        <v>0</v>
      </c>
      <c r="T88" s="258"/>
      <c r="U88" s="276">
        <v>8615.5400000000009</v>
      </c>
      <c r="V88" s="255">
        <v>5416.65</v>
      </c>
      <c r="W88" s="257">
        <f t="shared" si="19"/>
        <v>0.59056612481884585</v>
      </c>
      <c r="X88" s="259" t="s">
        <v>344</v>
      </c>
      <c r="Y88" s="62" t="s">
        <v>140</v>
      </c>
      <c r="AD88" s="1">
        <f t="shared" ref="AD88:AD91" si="22">+$P88*AD$85</f>
        <v>4329</v>
      </c>
      <c r="AE88" s="1">
        <f t="shared" si="20"/>
        <v>4329</v>
      </c>
      <c r="AF88" s="1">
        <f t="shared" si="20"/>
        <v>4342</v>
      </c>
      <c r="AH88" s="1">
        <f t="shared" si="21"/>
        <v>8615.5400000000009</v>
      </c>
    </row>
    <row r="89" spans="1:34" ht="31.5" customHeight="1">
      <c r="A89" s="43">
        <v>74</v>
      </c>
      <c r="C89" s="258" t="s">
        <v>36</v>
      </c>
      <c r="D89" s="268"/>
      <c r="E89" s="269"/>
      <c r="F89" s="270"/>
      <c r="G89" s="270"/>
      <c r="H89" s="270"/>
      <c r="I89" s="270"/>
      <c r="J89" s="270"/>
      <c r="K89" s="270"/>
      <c r="L89" s="270"/>
      <c r="M89" s="270"/>
      <c r="N89" s="270"/>
      <c r="O89" s="258"/>
      <c r="P89" s="276">
        <v>1200</v>
      </c>
      <c r="Q89" s="276">
        <v>1000</v>
      </c>
      <c r="R89" s="256">
        <f t="shared" si="17"/>
        <v>200</v>
      </c>
      <c r="S89" s="257">
        <f t="shared" si="18"/>
        <v>0.2</v>
      </c>
      <c r="T89" s="258"/>
      <c r="U89" s="255">
        <v>543.27</v>
      </c>
      <c r="V89" s="255">
        <v>500</v>
      </c>
      <c r="W89" s="257">
        <f t="shared" si="19"/>
        <v>8.6539999999999964E-2</v>
      </c>
      <c r="X89" s="259" t="s">
        <v>345</v>
      </c>
      <c r="Y89" s="59"/>
      <c r="AD89" s="1">
        <f t="shared" si="22"/>
        <v>399.6</v>
      </c>
      <c r="AE89" s="1">
        <f t="shared" si="20"/>
        <v>399.6</v>
      </c>
      <c r="AF89" s="1">
        <f t="shared" si="20"/>
        <v>400.8</v>
      </c>
      <c r="AH89" s="1">
        <f t="shared" si="21"/>
        <v>543.27</v>
      </c>
    </row>
    <row r="90" spans="1:34" ht="58.5" thickBot="1">
      <c r="A90" s="43">
        <v>75</v>
      </c>
      <c r="C90" s="263" t="s">
        <v>37</v>
      </c>
      <c r="D90" s="271"/>
      <c r="E90" s="741" t="s">
        <v>164</v>
      </c>
      <c r="F90" s="742"/>
      <c r="G90" s="742"/>
      <c r="H90" s="742"/>
      <c r="I90" s="742"/>
      <c r="J90" s="742"/>
      <c r="K90" s="742"/>
      <c r="L90" s="742"/>
      <c r="M90" s="743"/>
      <c r="N90" s="425"/>
      <c r="O90" s="263"/>
      <c r="P90" s="277">
        <v>1700</v>
      </c>
      <c r="Q90" s="277">
        <v>1700</v>
      </c>
      <c r="R90" s="261">
        <f t="shared" si="17"/>
        <v>0</v>
      </c>
      <c r="S90" s="262">
        <f t="shared" si="18"/>
        <v>0</v>
      </c>
      <c r="T90" s="263"/>
      <c r="U90" s="260">
        <v>659.17</v>
      </c>
      <c r="V90" s="260">
        <v>708.35</v>
      </c>
      <c r="W90" s="262">
        <f t="shared" si="19"/>
        <v>-6.942895461283273E-2</v>
      </c>
      <c r="X90" s="264" t="s">
        <v>401</v>
      </c>
      <c r="Y90" s="62" t="s">
        <v>132</v>
      </c>
      <c r="AD90" s="1">
        <f t="shared" si="22"/>
        <v>566.1</v>
      </c>
      <c r="AE90" s="1">
        <f t="shared" si="20"/>
        <v>566.1</v>
      </c>
      <c r="AF90" s="1">
        <f t="shared" si="20"/>
        <v>567.80000000000007</v>
      </c>
      <c r="AH90" s="1">
        <f t="shared" si="21"/>
        <v>659.17</v>
      </c>
    </row>
    <row r="91" spans="1:34" ht="14.5" customHeight="1" thickBot="1">
      <c r="A91" s="43">
        <v>73</v>
      </c>
      <c r="C91" s="258" t="s">
        <v>325</v>
      </c>
      <c r="D91" s="268"/>
      <c r="E91" s="269"/>
      <c r="F91" s="270"/>
      <c r="G91" s="270"/>
      <c r="H91" s="270"/>
      <c r="I91" s="270"/>
      <c r="J91" s="270"/>
      <c r="K91" s="270"/>
      <c r="L91" s="270"/>
      <c r="M91" s="270"/>
      <c r="N91" s="270"/>
      <c r="O91" s="258"/>
      <c r="P91" s="276">
        <f>2000+2000+500</f>
        <v>4500</v>
      </c>
      <c r="Q91" s="276">
        <v>0</v>
      </c>
      <c r="R91" s="256">
        <f t="shared" si="17"/>
        <v>4500</v>
      </c>
      <c r="S91" s="257" t="str">
        <f>IF(Q91=0,"NA",(+P91-Q91)/Q91)</f>
        <v>NA</v>
      </c>
      <c r="T91" s="258"/>
      <c r="U91" s="255">
        <v>0</v>
      </c>
      <c r="V91" s="255">
        <v>1875</v>
      </c>
      <c r="W91" s="257">
        <f>IF(V91=0,"NA",(+U91-V91)/V91)</f>
        <v>-1</v>
      </c>
      <c r="X91" s="600" t="s">
        <v>421</v>
      </c>
      <c r="Y91" s="62" t="s">
        <v>140</v>
      </c>
      <c r="AD91" s="1">
        <f t="shared" si="22"/>
        <v>1498.5</v>
      </c>
      <c r="AE91" s="1">
        <f t="shared" si="20"/>
        <v>1498.5</v>
      </c>
      <c r="AF91" s="1">
        <f t="shared" si="20"/>
        <v>1503</v>
      </c>
      <c r="AH91" s="1">
        <f t="shared" si="21"/>
        <v>0</v>
      </c>
    </row>
    <row r="92" spans="1:34" s="2" customFormat="1">
      <c r="A92" s="43">
        <v>76</v>
      </c>
      <c r="B92" s="20" t="s">
        <v>39</v>
      </c>
      <c r="C92" s="20"/>
      <c r="D92" s="37"/>
      <c r="E92" s="740">
        <f>Bud_Yr</f>
        <v>2020</v>
      </c>
      <c r="F92" s="715"/>
      <c r="G92" s="715"/>
      <c r="H92" s="715"/>
      <c r="I92" s="715">
        <f>Bud_Yr-1</f>
        <v>2019</v>
      </c>
      <c r="J92" s="715"/>
      <c r="K92" s="715"/>
      <c r="L92" s="715"/>
      <c r="M92" s="96">
        <f>Bud_Yr-2</f>
        <v>2018</v>
      </c>
      <c r="N92" s="426"/>
      <c r="O92" s="37"/>
      <c r="P92" s="20">
        <f>SUM(P86:P91)</f>
        <v>26150</v>
      </c>
      <c r="Q92" s="37">
        <f>SUM(Q86:Q91)</f>
        <v>22450</v>
      </c>
      <c r="R92" s="37">
        <f>SUM(R86:R91)</f>
        <v>3700</v>
      </c>
      <c r="S92" s="21">
        <f t="shared" si="18"/>
        <v>0.16481069042316257</v>
      </c>
      <c r="U92" s="37">
        <f>SUM(U86:U91)</f>
        <v>12673.910000000002</v>
      </c>
      <c r="V92" s="37">
        <f>SUM(V86:V91)</f>
        <v>10895.85</v>
      </c>
      <c r="W92" s="21">
        <f t="shared" si="19"/>
        <v>0.16318690143495013</v>
      </c>
      <c r="X92" s="100"/>
      <c r="Y92" s="61"/>
    </row>
    <row r="93" spans="1:34" ht="15" thickBot="1">
      <c r="A93" s="43">
        <v>77</v>
      </c>
      <c r="B93" s="20" t="s">
        <v>89</v>
      </c>
      <c r="C93" s="23"/>
      <c r="D93" s="23"/>
      <c r="E93" s="97" t="s">
        <v>162</v>
      </c>
      <c r="F93" s="98" t="s">
        <v>163</v>
      </c>
      <c r="G93" s="98" t="s">
        <v>166</v>
      </c>
      <c r="H93" s="98" t="s">
        <v>161</v>
      </c>
      <c r="I93" s="98" t="s">
        <v>162</v>
      </c>
      <c r="J93" s="98" t="s">
        <v>163</v>
      </c>
      <c r="K93" s="98" t="s">
        <v>166</v>
      </c>
      <c r="L93" s="98" t="s">
        <v>161</v>
      </c>
      <c r="M93" s="99" t="s">
        <v>163</v>
      </c>
      <c r="N93" s="427"/>
      <c r="O93" s="23"/>
      <c r="P93" s="20">
        <f>+P56+P63+P65+P73+P83+P92+P71</f>
        <v>55025</v>
      </c>
      <c r="Q93" s="37">
        <f>+Q56+Q63+Q65+Q73+Q83+Q92+Q71</f>
        <v>52525</v>
      </c>
      <c r="R93" s="37">
        <f>+R56+R63+R65+R73+R83+R92+R71</f>
        <v>2500</v>
      </c>
      <c r="S93" s="21">
        <f t="shared" si="18"/>
        <v>4.7596382674916705E-2</v>
      </c>
      <c r="U93" s="37">
        <f>+U56+U63+U65+U73+U83+U92+U71</f>
        <v>15778.170000000002</v>
      </c>
      <c r="V93" s="37">
        <f>+V56+V63+V65+V73+V83+V92+V71</f>
        <v>22925.710000000003</v>
      </c>
      <c r="W93" s="21">
        <f t="shared" si="19"/>
        <v>-0.31176962458305546</v>
      </c>
      <c r="X93" s="74"/>
      <c r="Y93" s="59"/>
    </row>
    <row r="94" spans="1:34" ht="8.25" customHeight="1">
      <c r="A94" s="43">
        <v>78</v>
      </c>
      <c r="S94" s="5"/>
      <c r="X94" s="74"/>
      <c r="Y94" s="59"/>
    </row>
    <row r="95" spans="1:34" ht="30" customHeight="1">
      <c r="A95" s="43">
        <v>79</v>
      </c>
      <c r="B95" s="7" t="s">
        <v>38</v>
      </c>
      <c r="F95" s="88">
        <v>0.02</v>
      </c>
      <c r="G95" s="744" t="s">
        <v>102</v>
      </c>
      <c r="H95" s="744"/>
      <c r="K95" s="79" t="s">
        <v>182</v>
      </c>
      <c r="L95" s="88">
        <v>1.4E-2</v>
      </c>
      <c r="O95" s="728" t="s">
        <v>98</v>
      </c>
      <c r="S95" s="5"/>
      <c r="X95" s="74"/>
      <c r="Y95" s="59"/>
    </row>
    <row r="96" spans="1:34" ht="15" customHeight="1">
      <c r="A96" s="43">
        <v>80</v>
      </c>
      <c r="B96" s="2" t="s">
        <v>155</v>
      </c>
      <c r="D96" s="50" t="s">
        <v>241</v>
      </c>
      <c r="F96" s="88">
        <v>0</v>
      </c>
      <c r="G96" s="744" t="s">
        <v>103</v>
      </c>
      <c r="H96" s="744"/>
      <c r="K96" s="79"/>
      <c r="O96" s="728"/>
      <c r="R96" s="126"/>
      <c r="S96" s="5"/>
      <c r="U96" s="127"/>
      <c r="V96" s="35"/>
      <c r="X96" s="62" t="s">
        <v>378</v>
      </c>
      <c r="Y96" s="58"/>
    </row>
    <row r="97" spans="1:36" ht="14.5" customHeight="1">
      <c r="A97" s="43">
        <v>81</v>
      </c>
      <c r="C97" s="253" t="s">
        <v>184</v>
      </c>
      <c r="D97" s="265"/>
      <c r="E97" s="266"/>
      <c r="F97" s="279"/>
      <c r="G97" s="380" t="s">
        <v>309</v>
      </c>
      <c r="H97" s="280"/>
      <c r="I97" s="281"/>
      <c r="J97" s="266"/>
      <c r="K97" s="281"/>
      <c r="L97" s="282"/>
      <c r="M97" s="283"/>
      <c r="N97" s="283"/>
      <c r="O97" s="265"/>
      <c r="P97" s="284">
        <f>+Pastor!I18</f>
        <v>75007</v>
      </c>
      <c r="Q97" s="284">
        <f>+Pastor!G18</f>
        <v>72737</v>
      </c>
      <c r="R97" s="251">
        <f t="shared" ref="R97:R106" si="23">+P97-Q97</f>
        <v>2270</v>
      </c>
      <c r="S97" s="252">
        <f t="shared" ref="S97:S107" si="24">IF(Q97=0,"NA",(+P97-Q97)/Q97)</f>
        <v>3.1208325886412692E-2</v>
      </c>
      <c r="T97" s="253"/>
      <c r="U97" s="250">
        <f>21253+10000</f>
        <v>31253</v>
      </c>
      <c r="V97" s="250">
        <f>21252.9+10000</f>
        <v>31252.9</v>
      </c>
      <c r="W97" s="252">
        <f t="shared" ref="W97:W107" si="25">IF(V97=0,"NA",(+U97-V97)/V97)</f>
        <v>3.1997030675087689E-6</v>
      </c>
      <c r="X97" s="254"/>
      <c r="Y97" s="62" t="s">
        <v>133</v>
      </c>
    </row>
    <row r="98" spans="1:36">
      <c r="A98" s="43">
        <v>82</v>
      </c>
      <c r="C98" s="258" t="s">
        <v>40</v>
      </c>
      <c r="D98" s="268"/>
      <c r="E98" s="269"/>
      <c r="F98" s="285" t="s">
        <v>310</v>
      </c>
      <c r="G98" s="286">
        <f>+(Pastor!I12+P153+P155+P161)-(Pastor!G12+Q153+Q155+Q161)</f>
        <v>3013</v>
      </c>
      <c r="H98" s="287" t="s">
        <v>391</v>
      </c>
      <c r="I98" s="288"/>
      <c r="J98" s="269"/>
      <c r="K98" s="289"/>
      <c r="L98" s="269"/>
      <c r="M98" s="290"/>
      <c r="N98" s="290"/>
      <c r="O98" s="291"/>
      <c r="P98" s="292">
        <f>+Pastor!I60</f>
        <v>1500</v>
      </c>
      <c r="Q98" s="292">
        <f>+Pastor!G60</f>
        <v>1500</v>
      </c>
      <c r="R98" s="256">
        <f t="shared" si="23"/>
        <v>0</v>
      </c>
      <c r="S98" s="257">
        <f t="shared" si="24"/>
        <v>0</v>
      </c>
      <c r="T98" s="258"/>
      <c r="U98" s="255">
        <v>711.39</v>
      </c>
      <c r="V98" s="255">
        <v>625</v>
      </c>
      <c r="W98" s="257">
        <f t="shared" si="25"/>
        <v>0.13822399999999999</v>
      </c>
      <c r="X98" s="259" t="s">
        <v>173</v>
      </c>
      <c r="Y98" s="62"/>
    </row>
    <row r="99" spans="1:36" ht="14.5" customHeight="1">
      <c r="C99" s="258" t="s">
        <v>382</v>
      </c>
      <c r="D99" s="268"/>
      <c r="E99" s="269"/>
      <c r="F99" s="285" t="s">
        <v>311</v>
      </c>
      <c r="G99" s="286">
        <f>(+P140+P146+P147+P149)-(Q140+Q146+Q147+Q149)</f>
        <v>183</v>
      </c>
      <c r="H99" s="269"/>
      <c r="I99" s="269"/>
      <c r="J99" s="287"/>
      <c r="K99" s="269"/>
      <c r="L99" s="269"/>
      <c r="M99" s="269"/>
      <c r="N99" s="269"/>
      <c r="O99" s="291"/>
      <c r="P99" s="292">
        <f>+Pastor!I23</f>
        <v>5738</v>
      </c>
      <c r="Q99" s="299">
        <f>+Pastor!G23</f>
        <v>5564.3805000000002</v>
      </c>
      <c r="R99" s="256">
        <f t="shared" si="23"/>
        <v>173.61949999999979</v>
      </c>
      <c r="S99" s="257">
        <f>IF(Q99=0,"NA",(+P99-Q99)/Q99)</f>
        <v>3.1201946020765436E-2</v>
      </c>
      <c r="T99" s="258"/>
      <c r="U99" s="255">
        <v>2390.9</v>
      </c>
      <c r="V99" s="255">
        <v>2390.85</v>
      </c>
      <c r="W99" s="257">
        <f>IF(V99=0,"NA",(+U99-V99)/V99)</f>
        <v>2.0913064391401344E-5</v>
      </c>
      <c r="X99" s="259" t="s">
        <v>240</v>
      </c>
      <c r="Y99" s="62"/>
    </row>
    <row r="100" spans="1:36" ht="43.5" hidden="1">
      <c r="C100" s="716" t="s">
        <v>181</v>
      </c>
      <c r="D100" s="716"/>
      <c r="E100" s="293"/>
      <c r="F100" s="294" t="s">
        <v>236</v>
      </c>
      <c r="G100" s="295">
        <f>+G98+G99</f>
        <v>3196</v>
      </c>
      <c r="H100" s="296"/>
      <c r="I100" s="292"/>
      <c r="J100" s="297"/>
      <c r="K100" s="269"/>
      <c r="L100" s="718"/>
      <c r="M100" s="718"/>
      <c r="N100" s="718"/>
      <c r="O100" s="718"/>
      <c r="P100" s="276">
        <v>0</v>
      </c>
      <c r="Q100" s="276">
        <v>0</v>
      </c>
      <c r="R100" s="256">
        <f>+P100-Q100</f>
        <v>0</v>
      </c>
      <c r="S100" s="257" t="str">
        <f>IF(Q100=0,"NA",(+P100-Q100)/Q100)</f>
        <v>NA</v>
      </c>
      <c r="T100" s="258"/>
      <c r="U100" s="255">
        <v>0</v>
      </c>
      <c r="V100" s="255">
        <v>0</v>
      </c>
      <c r="W100" s="257" t="str">
        <f>IF(V100=0,"NA",(+U100-V100)/V100)</f>
        <v>NA</v>
      </c>
      <c r="X100" s="259" t="s">
        <v>216</v>
      </c>
      <c r="Y100" s="62"/>
    </row>
    <row r="101" spans="1:36" ht="14" customHeight="1">
      <c r="C101" s="258" t="s">
        <v>175</v>
      </c>
      <c r="D101" s="268"/>
      <c r="E101" s="269"/>
      <c r="F101" s="297"/>
      <c r="G101" s="269"/>
      <c r="H101" s="298"/>
      <c r="I101" s="269"/>
      <c r="J101" s="269"/>
      <c r="K101" s="269"/>
      <c r="L101" s="269"/>
      <c r="M101" s="269"/>
      <c r="N101" s="269"/>
      <c r="O101" s="299"/>
      <c r="P101" s="292">
        <f>+Pastor!I43</f>
        <v>14003</v>
      </c>
      <c r="Q101" s="292">
        <f>+Pastor!G43</f>
        <v>16110</v>
      </c>
      <c r="R101" s="256">
        <f>+P101-Q101</f>
        <v>-2107</v>
      </c>
      <c r="S101" s="257">
        <f>IF(Q101=0,"NA",(+P101-Q101)/Q101)</f>
        <v>-0.13078833022967101</v>
      </c>
      <c r="T101" s="258"/>
      <c r="U101" s="255">
        <v>5780</v>
      </c>
      <c r="V101" s="276">
        <v>5834.6</v>
      </c>
      <c r="W101" s="257">
        <f>IF(V101=0,"NA",(+U101-V101)/V101)</f>
        <v>-9.3579679840949444E-3</v>
      </c>
      <c r="X101" s="259" t="s">
        <v>233</v>
      </c>
      <c r="Y101" s="66" t="s">
        <v>146</v>
      </c>
    </row>
    <row r="102" spans="1:36" ht="14.4" hidden="1" customHeight="1">
      <c r="C102" s="258" t="s">
        <v>177</v>
      </c>
      <c r="D102" s="268"/>
      <c r="E102" s="269"/>
      <c r="F102" s="269"/>
      <c r="G102" s="269"/>
      <c r="H102" s="300"/>
      <c r="I102" s="269"/>
      <c r="J102" s="269"/>
      <c r="K102" s="269"/>
      <c r="L102" s="269"/>
      <c r="M102" s="269"/>
      <c r="N102" s="269"/>
      <c r="O102" s="301"/>
      <c r="P102" s="292">
        <v>0</v>
      </c>
      <c r="Q102" s="276">
        <v>0</v>
      </c>
      <c r="R102" s="256">
        <f>+P102-Q102</f>
        <v>0</v>
      </c>
      <c r="S102" s="257" t="str">
        <f>IF(Q102=0,"NA",(+P102-Q102)/Q102)</f>
        <v>NA</v>
      </c>
      <c r="T102" s="258"/>
      <c r="U102" s="255">
        <v>0</v>
      </c>
      <c r="V102" s="276">
        <v>0</v>
      </c>
      <c r="W102" s="257" t="str">
        <f>IF(V102=0,"NA",(+U102-V102)/V102)</f>
        <v>NA</v>
      </c>
      <c r="X102" s="259" t="s">
        <v>402</v>
      </c>
      <c r="Y102" s="66" t="s">
        <v>146</v>
      </c>
    </row>
    <row r="103" spans="1:36" ht="14.4" customHeight="1">
      <c r="A103" s="43">
        <v>83</v>
      </c>
      <c r="C103" s="258" t="s">
        <v>176</v>
      </c>
      <c r="D103" s="268"/>
      <c r="E103" s="290"/>
      <c r="F103" s="300"/>
      <c r="G103" s="290"/>
      <c r="H103" s="300"/>
      <c r="I103" s="290"/>
      <c r="J103" s="300"/>
      <c r="K103" s="303"/>
      <c r="L103" s="269"/>
      <c r="M103" s="269"/>
      <c r="N103" s="269"/>
      <c r="O103" s="299"/>
      <c r="P103" s="292">
        <f>+Pastor!I57</f>
        <v>2342</v>
      </c>
      <c r="Q103" s="292">
        <f>+Pastor!G57</f>
        <v>2662</v>
      </c>
      <c r="R103" s="256">
        <f t="shared" si="23"/>
        <v>-320</v>
      </c>
      <c r="S103" s="257">
        <f t="shared" si="24"/>
        <v>-0.12021036814425244</v>
      </c>
      <c r="T103" s="258"/>
      <c r="U103" s="255">
        <v>975.65</v>
      </c>
      <c r="V103" s="276">
        <v>975.85</v>
      </c>
      <c r="W103" s="257">
        <f t="shared" si="25"/>
        <v>-2.0494953117799404E-4</v>
      </c>
      <c r="X103" s="302" t="s">
        <v>183</v>
      </c>
      <c r="Y103" s="66" t="s">
        <v>146</v>
      </c>
    </row>
    <row r="104" spans="1:36">
      <c r="C104" s="258" t="s">
        <v>107</v>
      </c>
      <c r="D104" s="268"/>
      <c r="E104" s="269"/>
      <c r="F104" s="269"/>
      <c r="G104" s="269"/>
      <c r="H104" s="269"/>
      <c r="I104" s="269"/>
      <c r="J104" s="269"/>
      <c r="K104" s="269"/>
      <c r="L104" s="269"/>
      <c r="M104" s="269"/>
      <c r="N104" s="269"/>
      <c r="O104" s="299"/>
      <c r="P104" s="292">
        <f>+Pastor!I62</f>
        <v>600</v>
      </c>
      <c r="Q104" s="299">
        <f>+Pastor!G62</f>
        <v>600</v>
      </c>
      <c r="R104" s="256">
        <f t="shared" si="23"/>
        <v>0</v>
      </c>
      <c r="S104" s="257">
        <f>IF(Q104=0,"NA",(+P104-Q104)/Q104)</f>
        <v>0</v>
      </c>
      <c r="T104" s="258"/>
      <c r="U104" s="255">
        <v>58.06</v>
      </c>
      <c r="V104" s="255">
        <v>250</v>
      </c>
      <c r="W104" s="257">
        <f>IF(V104=0,"NA",(+U104-V104)/V104)</f>
        <v>-0.76776</v>
      </c>
      <c r="X104" s="259" t="s">
        <v>174</v>
      </c>
      <c r="Y104" s="62"/>
    </row>
    <row r="105" spans="1:36">
      <c r="C105" s="258" t="s">
        <v>230</v>
      </c>
      <c r="D105" s="268"/>
      <c r="E105" s="269"/>
      <c r="F105" s="270"/>
      <c r="G105" s="270"/>
      <c r="H105" s="270"/>
      <c r="I105" s="270"/>
      <c r="J105" s="270"/>
      <c r="K105" s="270"/>
      <c r="L105" s="270"/>
      <c r="M105" s="270"/>
      <c r="N105" s="270"/>
      <c r="O105" s="304"/>
      <c r="P105" s="292">
        <f>+Pastor!I63</f>
        <v>480</v>
      </c>
      <c r="Q105" s="299">
        <f>+Pastor!G63</f>
        <v>480</v>
      </c>
      <c r="R105" s="256">
        <f>+P105-Q105</f>
        <v>0</v>
      </c>
      <c r="S105" s="257">
        <f>IF(Q105=0,"NA",(+P105-Q105)/Q105)</f>
        <v>0</v>
      </c>
      <c r="T105" s="258"/>
      <c r="U105" s="255">
        <v>120</v>
      </c>
      <c r="V105" s="255">
        <v>120</v>
      </c>
      <c r="W105" s="257">
        <f>IF(V105=0,"NA",(+U105-V105)/V105)</f>
        <v>0</v>
      </c>
      <c r="X105" s="259" t="s">
        <v>242</v>
      </c>
      <c r="Y105" s="62"/>
    </row>
    <row r="106" spans="1:36" ht="29">
      <c r="A106" s="43">
        <v>85</v>
      </c>
      <c r="C106" s="263" t="s">
        <v>41</v>
      </c>
      <c r="D106" s="271"/>
      <c r="E106" s="272"/>
      <c r="F106" s="273"/>
      <c r="G106" s="273"/>
      <c r="H106" s="273"/>
      <c r="I106" s="273"/>
      <c r="J106" s="273"/>
      <c r="K106" s="273"/>
      <c r="L106" s="273"/>
      <c r="M106" s="273"/>
      <c r="N106" s="273"/>
      <c r="O106" s="305"/>
      <c r="P106" s="306">
        <f>+Pastor!I61</f>
        <v>1000</v>
      </c>
      <c r="Q106" s="424">
        <f>+Pastor!G61</f>
        <v>1000</v>
      </c>
      <c r="R106" s="261">
        <f t="shared" si="23"/>
        <v>0</v>
      </c>
      <c r="S106" s="262">
        <f t="shared" si="24"/>
        <v>0</v>
      </c>
      <c r="T106" s="263"/>
      <c r="U106" s="260">
        <v>379</v>
      </c>
      <c r="V106" s="260">
        <v>416.65</v>
      </c>
      <c r="W106" s="262">
        <f t="shared" si="25"/>
        <v>-9.0363614544581736E-2</v>
      </c>
      <c r="X106" s="264" t="s">
        <v>403</v>
      </c>
      <c r="Y106" s="62"/>
      <c r="AD106" s="418">
        <v>0.4</v>
      </c>
      <c r="AE106" s="418">
        <v>0.2</v>
      </c>
      <c r="AF106" s="418">
        <v>0.4</v>
      </c>
      <c r="AH106" s="35">
        <f>+AD106</f>
        <v>0.4</v>
      </c>
      <c r="AI106" s="35">
        <f>+AE106</f>
        <v>0.2</v>
      </c>
      <c r="AJ106" s="35">
        <f>+AF106</f>
        <v>0.4</v>
      </c>
    </row>
    <row r="107" spans="1:36" s="2" customFormat="1">
      <c r="A107" s="43">
        <v>86</v>
      </c>
      <c r="B107" s="24" t="s">
        <v>156</v>
      </c>
      <c r="C107" s="24"/>
      <c r="D107" s="24"/>
      <c r="E107" s="89"/>
      <c r="F107" s="89"/>
      <c r="G107" s="89"/>
      <c r="H107" s="89"/>
      <c r="I107" s="89"/>
      <c r="J107" s="89"/>
      <c r="K107" s="89"/>
      <c r="L107" s="89"/>
      <c r="M107" s="89"/>
      <c r="N107" s="89"/>
      <c r="O107" s="24"/>
      <c r="P107" s="24">
        <f>SUM(P97:P106)</f>
        <v>100670</v>
      </c>
      <c r="Q107" s="24">
        <f>SUM(Q97:Q106)</f>
        <v>100653.3805</v>
      </c>
      <c r="R107" s="24">
        <f>SUM(R97:R106)</f>
        <v>16.619499999999789</v>
      </c>
      <c r="S107" s="25">
        <f t="shared" si="24"/>
        <v>1.6511616318739237E-4</v>
      </c>
      <c r="U107" s="24">
        <f>SUM(U97:U106)</f>
        <v>41668</v>
      </c>
      <c r="V107" s="24">
        <f>SUM(V97:V106)</f>
        <v>41865.85</v>
      </c>
      <c r="W107" s="25">
        <f t="shared" si="25"/>
        <v>-4.7258087438807181E-3</v>
      </c>
      <c r="X107" s="75"/>
      <c r="Y107" s="61"/>
      <c r="AD107" s="2">
        <f>+P107*AD106</f>
        <v>40268</v>
      </c>
      <c r="AE107" s="2">
        <f>+P107*AE106</f>
        <v>20134</v>
      </c>
      <c r="AF107" s="2">
        <f>+P107*AF106</f>
        <v>40268</v>
      </c>
      <c r="AH107" s="2">
        <f>+U107*AH106</f>
        <v>16667.2</v>
      </c>
      <c r="AI107" s="2">
        <f>+U107*AI106</f>
        <v>8333.6</v>
      </c>
      <c r="AJ107" s="2">
        <f>+U107*AJ106</f>
        <v>16667.2</v>
      </c>
    </row>
    <row r="108" spans="1:36" ht="6.75" customHeight="1">
      <c r="A108" s="43">
        <v>87</v>
      </c>
      <c r="S108" s="5"/>
      <c r="X108" s="74"/>
      <c r="Y108" s="59"/>
    </row>
    <row r="109" spans="1:36" ht="15" customHeight="1">
      <c r="A109" s="43">
        <v>80</v>
      </c>
      <c r="B109" s="2" t="s">
        <v>376</v>
      </c>
      <c r="D109" s="50" t="s">
        <v>384</v>
      </c>
      <c r="F109" s="476"/>
      <c r="G109" s="717"/>
      <c r="H109" s="717"/>
      <c r="R109" s="126"/>
      <c r="S109" s="39"/>
      <c r="U109" s="127"/>
      <c r="V109" s="35"/>
      <c r="W109" s="39"/>
      <c r="X109" s="62" t="s">
        <v>198</v>
      </c>
      <c r="Y109" s="58"/>
    </row>
    <row r="110" spans="1:36" ht="14.5" customHeight="1">
      <c r="A110" s="43">
        <v>81</v>
      </c>
      <c r="C110" s="253" t="s">
        <v>184</v>
      </c>
      <c r="D110" s="265"/>
      <c r="E110" s="266"/>
      <c r="F110" s="279"/>
      <c r="G110" s="380"/>
      <c r="H110" s="280"/>
      <c r="I110" s="281"/>
      <c r="J110" s="266"/>
      <c r="K110" s="281"/>
      <c r="L110" s="282"/>
      <c r="M110" s="283"/>
      <c r="N110" s="283"/>
      <c r="O110" s="265"/>
      <c r="P110" s="284">
        <f>+'Assoc. Pastor'!D23</f>
        <v>29145</v>
      </c>
      <c r="Q110" s="278">
        <v>0</v>
      </c>
      <c r="R110" s="251">
        <f t="shared" ref="R110:R112" si="26">+P110-Q110</f>
        <v>29145</v>
      </c>
      <c r="S110" s="252" t="str">
        <f t="shared" ref="S110:S111" si="27">IF(Q110=0,"NA",(+P110-Q110)/Q110)</f>
        <v>NA</v>
      </c>
      <c r="T110" s="253"/>
      <c r="U110" s="250">
        <v>0</v>
      </c>
      <c r="V110" s="250">
        <v>0</v>
      </c>
      <c r="W110" s="252" t="str">
        <f t="shared" ref="W110:W111" si="28">IF(V110=0,"NA",(+U110-V110)/V110)</f>
        <v>NA</v>
      </c>
      <c r="X110" s="254" t="s">
        <v>383</v>
      </c>
      <c r="Y110" s="62" t="s">
        <v>133</v>
      </c>
    </row>
    <row r="111" spans="1:36">
      <c r="A111" s="43">
        <v>82</v>
      </c>
      <c r="C111" s="258" t="s">
        <v>40</v>
      </c>
      <c r="D111" s="268"/>
      <c r="E111" s="269"/>
      <c r="F111" s="285"/>
      <c r="G111" s="286"/>
      <c r="H111" s="287"/>
      <c r="I111" s="288"/>
      <c r="J111" s="269"/>
      <c r="K111" s="289"/>
      <c r="L111" s="269"/>
      <c r="M111" s="290"/>
      <c r="N111" s="290"/>
      <c r="O111" s="291"/>
      <c r="P111" s="292">
        <f>+'Assoc. Pastor'!D58</f>
        <v>600</v>
      </c>
      <c r="Q111" s="276">
        <v>0</v>
      </c>
      <c r="R111" s="256">
        <f t="shared" si="26"/>
        <v>600</v>
      </c>
      <c r="S111" s="257" t="str">
        <f t="shared" si="27"/>
        <v>NA</v>
      </c>
      <c r="T111" s="258"/>
      <c r="U111" s="255">
        <v>0</v>
      </c>
      <c r="V111" s="255">
        <v>0</v>
      </c>
      <c r="W111" s="257" t="str">
        <f t="shared" si="28"/>
        <v>NA</v>
      </c>
      <c r="X111" s="259"/>
      <c r="Y111" s="62"/>
    </row>
    <row r="112" spans="1:36" ht="14.5" customHeight="1">
      <c r="C112" s="258" t="s">
        <v>382</v>
      </c>
      <c r="D112" s="268"/>
      <c r="E112" s="269"/>
      <c r="F112" s="285"/>
      <c r="G112" s="286"/>
      <c r="H112" s="269"/>
      <c r="I112" s="269"/>
      <c r="J112" s="287"/>
      <c r="K112" s="269"/>
      <c r="L112" s="269"/>
      <c r="M112" s="269"/>
      <c r="N112" s="269"/>
      <c r="O112" s="291"/>
      <c r="P112" s="292">
        <f>+'Assoc. Pastor'!D28</f>
        <v>2230</v>
      </c>
      <c r="Q112" s="276">
        <v>0</v>
      </c>
      <c r="R112" s="256">
        <f t="shared" si="26"/>
        <v>2230</v>
      </c>
      <c r="S112" s="257" t="str">
        <f>IF(Q112=0,"NA",(+P112-Q112)/Q112)</f>
        <v>NA</v>
      </c>
      <c r="T112" s="258"/>
      <c r="U112" s="255">
        <v>0</v>
      </c>
      <c r="V112" s="255">
        <v>0</v>
      </c>
      <c r="W112" s="257" t="str">
        <f>IF(V112=0,"NA",(+U112-V112)/V112)</f>
        <v>NA</v>
      </c>
      <c r="X112" s="259" t="s">
        <v>240</v>
      </c>
      <c r="Y112" s="62"/>
      <c r="AA112" s="468"/>
    </row>
    <row r="113" spans="1:36" ht="43.5" hidden="1">
      <c r="C113" s="716" t="s">
        <v>181</v>
      </c>
      <c r="D113" s="716"/>
      <c r="E113" s="293"/>
      <c r="F113" s="294" t="s">
        <v>236</v>
      </c>
      <c r="G113" s="295">
        <f>+G111+G112</f>
        <v>0</v>
      </c>
      <c r="H113" s="296"/>
      <c r="I113" s="292"/>
      <c r="J113" s="297"/>
      <c r="K113" s="269"/>
      <c r="L113" s="718"/>
      <c r="M113" s="718"/>
      <c r="N113" s="718"/>
      <c r="O113" s="718"/>
      <c r="P113" s="276">
        <v>0</v>
      </c>
      <c r="Q113" s="276">
        <v>0</v>
      </c>
      <c r="R113" s="256">
        <f>+P113-Q113</f>
        <v>0</v>
      </c>
      <c r="S113" s="257" t="str">
        <f>IF(Q113=0,"NA",(+P113-Q113)/Q113)</f>
        <v>NA</v>
      </c>
      <c r="T113" s="258"/>
      <c r="U113" s="255">
        <v>0</v>
      </c>
      <c r="V113" s="255">
        <v>0</v>
      </c>
      <c r="W113" s="257" t="str">
        <f>IF(V113=0,"NA",(+U113-V113)/V113)</f>
        <v>NA</v>
      </c>
      <c r="X113" s="259" t="s">
        <v>216</v>
      </c>
      <c r="Y113" s="62"/>
    </row>
    <row r="114" spans="1:36" ht="14" customHeight="1">
      <c r="C114" s="258" t="s">
        <v>175</v>
      </c>
      <c r="D114" s="268"/>
      <c r="E114" s="269"/>
      <c r="F114" s="297"/>
      <c r="G114" s="269"/>
      <c r="H114" s="298"/>
      <c r="I114" s="269"/>
      <c r="J114" s="269"/>
      <c r="K114" s="269"/>
      <c r="L114" s="269"/>
      <c r="M114" s="269"/>
      <c r="N114" s="269"/>
      <c r="O114" s="299"/>
      <c r="P114" s="292">
        <f>+'Assoc. Pastor'!D48</f>
        <v>3138</v>
      </c>
      <c r="Q114" s="276">
        <v>0</v>
      </c>
      <c r="R114" s="256">
        <f>+P114-Q114</f>
        <v>3138</v>
      </c>
      <c r="S114" s="257" t="str">
        <f>IF(Q114=0,"NA",(+P114-Q114)/Q114)</f>
        <v>NA</v>
      </c>
      <c r="T114" s="258"/>
      <c r="U114" s="255">
        <v>0</v>
      </c>
      <c r="V114" s="276">
        <v>0</v>
      </c>
      <c r="W114" s="257" t="str">
        <f>IF(V114=0,"NA",(+U114-V114)/V114)</f>
        <v>NA</v>
      </c>
      <c r="X114" s="259" t="s">
        <v>233</v>
      </c>
      <c r="Y114" s="66" t="s">
        <v>146</v>
      </c>
    </row>
    <row r="115" spans="1:36" ht="14.4" hidden="1" customHeight="1">
      <c r="C115" s="258" t="s">
        <v>177</v>
      </c>
      <c r="D115" s="268"/>
      <c r="E115" s="269"/>
      <c r="F115" s="269"/>
      <c r="G115" s="269"/>
      <c r="H115" s="300"/>
      <c r="I115" s="269"/>
      <c r="J115" s="269"/>
      <c r="K115" s="269"/>
      <c r="L115" s="269"/>
      <c r="M115" s="269"/>
      <c r="N115" s="269"/>
      <c r="O115" s="301"/>
      <c r="P115" s="292">
        <v>0</v>
      </c>
      <c r="Q115" s="276">
        <v>0</v>
      </c>
      <c r="R115" s="256">
        <f>+P115-Q115</f>
        <v>0</v>
      </c>
      <c r="S115" s="257" t="str">
        <f>IF(Q115=0,"NA",(+P115-Q115)/Q115)</f>
        <v>NA</v>
      </c>
      <c r="T115" s="258"/>
      <c r="U115" s="255">
        <v>0</v>
      </c>
      <c r="V115" s="276">
        <v>0</v>
      </c>
      <c r="W115" s="257" t="str">
        <f>IF(V115=0,"NA",(+U115-V115)/V115)</f>
        <v>NA</v>
      </c>
      <c r="X115" s="259" t="s">
        <v>402</v>
      </c>
      <c r="Y115" s="66" t="s">
        <v>146</v>
      </c>
    </row>
    <row r="116" spans="1:36" ht="14.4" customHeight="1">
      <c r="C116" s="258" t="s">
        <v>386</v>
      </c>
      <c r="D116" s="268"/>
      <c r="E116" s="269"/>
      <c r="F116" s="269"/>
      <c r="G116" s="269"/>
      <c r="H116" s="300"/>
      <c r="I116" s="269"/>
      <c r="J116" s="269"/>
      <c r="K116" s="269"/>
      <c r="L116" s="269"/>
      <c r="M116" s="269"/>
      <c r="N116" s="269"/>
      <c r="O116" s="301"/>
      <c r="P116" s="292">
        <f>+'Assoc. Pastor'!D32</f>
        <v>11013</v>
      </c>
      <c r="Q116" s="276">
        <v>0</v>
      </c>
      <c r="R116" s="256">
        <f>+P116-Q116</f>
        <v>11013</v>
      </c>
      <c r="S116" s="257" t="str">
        <f>IF(Q116=0,"NA",(+P116-Q116)/Q116)</f>
        <v>NA</v>
      </c>
      <c r="T116" s="258"/>
      <c r="U116" s="255">
        <v>0</v>
      </c>
      <c r="V116" s="276">
        <v>0</v>
      </c>
      <c r="W116" s="257" t="str">
        <f>IF(V116=0,"NA",(+U116-V116)/V116)</f>
        <v>NA</v>
      </c>
      <c r="X116" s="259" t="s">
        <v>387</v>
      </c>
      <c r="Y116" s="66"/>
    </row>
    <row r="117" spans="1:36" ht="14.4" customHeight="1">
      <c r="A117" s="43">
        <v>83</v>
      </c>
      <c r="C117" s="258" t="s">
        <v>176</v>
      </c>
      <c r="D117" s="268"/>
      <c r="E117" s="290"/>
      <c r="F117" s="300"/>
      <c r="G117" s="290"/>
      <c r="H117" s="300"/>
      <c r="I117" s="290"/>
      <c r="J117" s="300"/>
      <c r="K117" s="303"/>
      <c r="L117" s="269"/>
      <c r="M117" s="269"/>
      <c r="N117" s="269"/>
      <c r="O117" s="299"/>
      <c r="P117" s="292">
        <f>+'Assoc. Pastor'!D56</f>
        <v>910</v>
      </c>
      <c r="Q117" s="276">
        <v>0</v>
      </c>
      <c r="R117" s="256">
        <f t="shared" ref="R117:R118" si="29">+P117-Q117</f>
        <v>910</v>
      </c>
      <c r="S117" s="257" t="str">
        <f t="shared" ref="S117" si="30">IF(Q117=0,"NA",(+P117-Q117)/Q117)</f>
        <v>NA</v>
      </c>
      <c r="T117" s="258"/>
      <c r="U117" s="255">
        <v>0</v>
      </c>
      <c r="V117" s="276">
        <v>0</v>
      </c>
      <c r="W117" s="257" t="str">
        <f t="shared" ref="W117" si="31">IF(V117=0,"NA",(+U117-V117)/V117)</f>
        <v>NA</v>
      </c>
      <c r="X117" s="302" t="s">
        <v>183</v>
      </c>
      <c r="Y117" s="66" t="s">
        <v>146</v>
      </c>
    </row>
    <row r="118" spans="1:36">
      <c r="C118" s="258" t="s">
        <v>107</v>
      </c>
      <c r="D118" s="268"/>
      <c r="E118" s="269"/>
      <c r="F118" s="269"/>
      <c r="G118" s="269"/>
      <c r="H118" s="269"/>
      <c r="I118" s="269"/>
      <c r="J118" s="269"/>
      <c r="K118" s="269"/>
      <c r="L118" s="269"/>
      <c r="M118" s="269"/>
      <c r="N118" s="269"/>
      <c r="O118" s="299"/>
      <c r="P118" s="292">
        <f>+'Assoc. Pastor'!D60</f>
        <v>300</v>
      </c>
      <c r="Q118" s="276">
        <v>0</v>
      </c>
      <c r="R118" s="256">
        <f t="shared" si="29"/>
        <v>300</v>
      </c>
      <c r="S118" s="257" t="str">
        <f>IF(Q118=0,"NA",(+P118-Q118)/Q118)</f>
        <v>NA</v>
      </c>
      <c r="T118" s="258"/>
      <c r="U118" s="255">
        <v>0</v>
      </c>
      <c r="V118" s="255">
        <v>0</v>
      </c>
      <c r="W118" s="257" t="str">
        <f>IF(V118=0,"NA",(+U118-V118)/V118)</f>
        <v>NA</v>
      </c>
      <c r="X118" s="259"/>
      <c r="Y118" s="62"/>
    </row>
    <row r="119" spans="1:36">
      <c r="C119" s="258" t="s">
        <v>230</v>
      </c>
      <c r="D119" s="268"/>
      <c r="E119" s="269"/>
      <c r="F119" s="270"/>
      <c r="G119" s="270"/>
      <c r="H119" s="270"/>
      <c r="I119" s="270"/>
      <c r="J119" s="270"/>
      <c r="K119" s="270"/>
      <c r="L119" s="270"/>
      <c r="M119" s="270"/>
      <c r="N119" s="270"/>
      <c r="O119" s="304"/>
      <c r="P119" s="292">
        <f>+'Assoc. Pastor'!D61</f>
        <v>240</v>
      </c>
      <c r="Q119" s="276">
        <v>0</v>
      </c>
      <c r="R119" s="256">
        <f>+P119-Q119</f>
        <v>240</v>
      </c>
      <c r="S119" s="257" t="str">
        <f>IF(Q119=0,"NA",(+P119-Q119)/Q119)</f>
        <v>NA</v>
      </c>
      <c r="T119" s="258"/>
      <c r="U119" s="255">
        <v>0</v>
      </c>
      <c r="V119" s="255">
        <v>0</v>
      </c>
      <c r="W119" s="257" t="str">
        <f>IF(V119=0,"NA",(+U119-V119)/V119)</f>
        <v>NA</v>
      </c>
      <c r="X119" s="259" t="s">
        <v>242</v>
      </c>
      <c r="Y119" s="62"/>
    </row>
    <row r="120" spans="1:36">
      <c r="A120" s="43">
        <v>85</v>
      </c>
      <c r="C120" s="258" t="s">
        <v>41</v>
      </c>
      <c r="D120" s="268"/>
      <c r="E120" s="269"/>
      <c r="F120" s="270"/>
      <c r="G120" s="270"/>
      <c r="H120" s="270"/>
      <c r="I120" s="270"/>
      <c r="J120" s="270"/>
      <c r="K120" s="270"/>
      <c r="L120" s="270"/>
      <c r="M120" s="270"/>
      <c r="N120" s="270"/>
      <c r="O120" s="317"/>
      <c r="P120" s="292">
        <f>+'Assoc. Pastor'!D59</f>
        <v>375</v>
      </c>
      <c r="Q120" s="276">
        <v>0</v>
      </c>
      <c r="R120" s="256">
        <f t="shared" ref="R120:R121" si="32">+P120-Q120</f>
        <v>375</v>
      </c>
      <c r="S120" s="257" t="str">
        <f t="shared" ref="S120:S122" si="33">IF(Q120=0,"NA",(+P120-Q120)/Q120)</f>
        <v>NA</v>
      </c>
      <c r="T120" s="258"/>
      <c r="U120" s="255">
        <v>0</v>
      </c>
      <c r="V120" s="255">
        <v>0</v>
      </c>
      <c r="W120" s="257" t="str">
        <f t="shared" ref="W120:W122" si="34">IF(V120=0,"NA",(+U120-V120)/V120)</f>
        <v>NA</v>
      </c>
      <c r="X120" s="259"/>
      <c r="Y120" s="62"/>
      <c r="AD120" s="418">
        <v>0.4</v>
      </c>
      <c r="AE120" s="418">
        <v>0.4</v>
      </c>
      <c r="AF120" s="418">
        <v>0.2</v>
      </c>
      <c r="AH120" s="35">
        <f>+AD120</f>
        <v>0.4</v>
      </c>
      <c r="AI120" s="35">
        <f>+AE120</f>
        <v>0.4</v>
      </c>
      <c r="AJ120" s="35">
        <f>+AF120</f>
        <v>0.2</v>
      </c>
    </row>
    <row r="121" spans="1:36">
      <c r="C121" s="258" t="s">
        <v>375</v>
      </c>
      <c r="D121" s="268"/>
      <c r="E121" s="269"/>
      <c r="F121" s="270"/>
      <c r="G121" s="270"/>
      <c r="H121" s="270"/>
      <c r="I121" s="270"/>
      <c r="J121" s="270"/>
      <c r="K121" s="270"/>
      <c r="L121" s="270"/>
      <c r="M121" s="270"/>
      <c r="N121" s="270"/>
      <c r="O121" s="317"/>
      <c r="P121" s="292">
        <f>+'Assoc. Pastor'!D62</f>
        <v>300</v>
      </c>
      <c r="Q121" s="276">
        <v>0</v>
      </c>
      <c r="R121" s="256">
        <f t="shared" si="32"/>
        <v>300</v>
      </c>
      <c r="S121" s="257" t="str">
        <f t="shared" si="33"/>
        <v>NA</v>
      </c>
      <c r="T121" s="258"/>
      <c r="U121" s="255">
        <v>0</v>
      </c>
      <c r="V121" s="255">
        <v>0</v>
      </c>
      <c r="W121" s="257" t="str">
        <f t="shared" ref="W121" si="35">IF(V121=0,"NA",(+U121-V121)/V121)</f>
        <v>NA</v>
      </c>
      <c r="X121" s="259"/>
      <c r="Y121" s="62"/>
      <c r="AD121" s="418"/>
      <c r="AE121" s="418"/>
      <c r="AF121" s="418"/>
      <c r="AH121" s="35"/>
      <c r="AI121" s="35"/>
      <c r="AJ121" s="35"/>
    </row>
    <row r="122" spans="1:36" s="2" customFormat="1">
      <c r="A122" s="43">
        <v>86</v>
      </c>
      <c r="B122" s="24" t="s">
        <v>377</v>
      </c>
      <c r="C122" s="24"/>
      <c r="D122" s="24"/>
      <c r="E122" s="89"/>
      <c r="F122" s="89"/>
      <c r="G122" s="89"/>
      <c r="H122" s="89"/>
      <c r="I122" s="89"/>
      <c r="J122" s="89"/>
      <c r="K122" s="89"/>
      <c r="L122" s="89"/>
      <c r="M122" s="89"/>
      <c r="N122" s="89"/>
      <c r="O122" s="24"/>
      <c r="P122" s="24">
        <f>SUM(P110:P121)</f>
        <v>48251</v>
      </c>
      <c r="Q122" s="24">
        <f>SUM(Q110:Q121)</f>
        <v>0</v>
      </c>
      <c r="R122" s="24">
        <f>SUM(R110:R121)</f>
        <v>48251</v>
      </c>
      <c r="S122" s="25" t="str">
        <f t="shared" si="33"/>
        <v>NA</v>
      </c>
      <c r="U122" s="24">
        <f>SUM(U110:U121)</f>
        <v>0</v>
      </c>
      <c r="V122" s="24">
        <f>SUM(V110:V121)</f>
        <v>0</v>
      </c>
      <c r="W122" s="25" t="str">
        <f t="shared" si="34"/>
        <v>NA</v>
      </c>
      <c r="X122" s="75"/>
      <c r="Y122" s="61"/>
      <c r="AD122" s="2">
        <f>+P122*AD120</f>
        <v>19300.400000000001</v>
      </c>
      <c r="AE122" s="2">
        <f>+P122*AE120</f>
        <v>19300.400000000001</v>
      </c>
      <c r="AF122" s="2">
        <f>+P122*AF120</f>
        <v>9650.2000000000007</v>
      </c>
      <c r="AH122" s="2">
        <f>+U122*AH120</f>
        <v>0</v>
      </c>
      <c r="AI122" s="2">
        <f>+U122*AI120</f>
        <v>0</v>
      </c>
      <c r="AJ122" s="2">
        <f>+U122*AJ120</f>
        <v>0</v>
      </c>
    </row>
    <row r="123" spans="1:36" ht="6.75" customHeight="1">
      <c r="S123" s="39"/>
      <c r="W123" s="39"/>
      <c r="X123" s="74"/>
      <c r="Y123" s="59"/>
    </row>
    <row r="124" spans="1:36">
      <c r="A124" s="43">
        <v>88</v>
      </c>
      <c r="B124" s="2" t="s">
        <v>194</v>
      </c>
      <c r="P124" s="39"/>
      <c r="S124" s="5"/>
      <c r="X124" s="74"/>
      <c r="Y124" s="59"/>
    </row>
    <row r="125" spans="1:36">
      <c r="A125" s="43">
        <v>89</v>
      </c>
      <c r="C125" s="253" t="s">
        <v>42</v>
      </c>
      <c r="D125" s="265"/>
      <c r="E125" s="266"/>
      <c r="F125" s="267"/>
      <c r="G125" s="267"/>
      <c r="H125" s="307"/>
      <c r="I125" s="308"/>
      <c r="J125" s="308"/>
      <c r="K125" s="307"/>
      <c r="L125" s="307"/>
      <c r="M125" s="308"/>
      <c r="N125" s="308"/>
      <c r="O125" s="253"/>
      <c r="P125" s="278">
        <f>ROUND((+Q125*(1+0))/12*5,0)</f>
        <v>18750</v>
      </c>
      <c r="Q125" s="250">
        <v>45000</v>
      </c>
      <c r="R125" s="251">
        <f t="shared" ref="R125:R130" si="36">+P125-Q125</f>
        <v>-26250</v>
      </c>
      <c r="S125" s="252">
        <f t="shared" ref="S125:S131" si="37">IF(Q125=0,"NA",(+P125-Q125)/Q125)</f>
        <v>-0.58333333333333337</v>
      </c>
      <c r="T125" s="253"/>
      <c r="U125" s="250">
        <v>18750</v>
      </c>
      <c r="V125" s="250">
        <v>18750</v>
      </c>
      <c r="W125" s="252">
        <f t="shared" ref="W125:W131" si="38">IF(V125=0,"NA",(+U125-V125)/V125)</f>
        <v>0</v>
      </c>
      <c r="X125" s="254" t="s">
        <v>427</v>
      </c>
      <c r="Y125" s="58" t="s">
        <v>134</v>
      </c>
    </row>
    <row r="126" spans="1:36">
      <c r="C126" s="258" t="s">
        <v>41</v>
      </c>
      <c r="D126" s="268"/>
      <c r="E126" s="269"/>
      <c r="F126" s="270"/>
      <c r="G126" s="270"/>
      <c r="H126" s="309"/>
      <c r="I126" s="309"/>
      <c r="J126" s="309"/>
      <c r="K126" s="309"/>
      <c r="L126" s="309"/>
      <c r="M126" s="309"/>
      <c r="N126" s="309"/>
      <c r="O126" s="258"/>
      <c r="P126" s="276">
        <v>0</v>
      </c>
      <c r="Q126" s="255">
        <v>750</v>
      </c>
      <c r="R126" s="256">
        <f t="shared" si="36"/>
        <v>-750</v>
      </c>
      <c r="S126" s="257">
        <f>IF(Q126=0,"NA",(+P126-Q126)/Q126)</f>
        <v>-1</v>
      </c>
      <c r="T126" s="258"/>
      <c r="U126" s="255">
        <v>0</v>
      </c>
      <c r="V126" s="255">
        <v>0</v>
      </c>
      <c r="W126" s="257" t="str">
        <f t="shared" si="38"/>
        <v>NA</v>
      </c>
      <c r="X126" s="259"/>
      <c r="Y126" s="58"/>
    </row>
    <row r="127" spans="1:36">
      <c r="C127" s="258" t="s">
        <v>43</v>
      </c>
      <c r="D127" s="268"/>
      <c r="E127" s="269"/>
      <c r="F127" s="270"/>
      <c r="G127" s="270"/>
      <c r="H127" s="309"/>
      <c r="I127" s="309"/>
      <c r="J127" s="309"/>
      <c r="K127" s="309"/>
      <c r="L127" s="309"/>
      <c r="M127" s="309"/>
      <c r="N127" s="309"/>
      <c r="O127" s="258"/>
      <c r="P127" s="276">
        <v>0</v>
      </c>
      <c r="Q127" s="255">
        <v>1500</v>
      </c>
      <c r="R127" s="256">
        <f t="shared" si="36"/>
        <v>-1500</v>
      </c>
      <c r="S127" s="257">
        <f>IF(Q127=0,"NA",(+P127-Q127)/Q127)</f>
        <v>-1</v>
      </c>
      <c r="T127" s="258"/>
      <c r="U127" s="255">
        <v>412.85</v>
      </c>
      <c r="V127" s="255">
        <v>0</v>
      </c>
      <c r="W127" s="257" t="str">
        <f t="shared" si="38"/>
        <v>NA</v>
      </c>
      <c r="X127" s="259"/>
      <c r="Y127" s="58"/>
    </row>
    <row r="128" spans="1:36">
      <c r="C128" s="258" t="s">
        <v>230</v>
      </c>
      <c r="D128" s="268"/>
      <c r="E128" s="269"/>
      <c r="F128" s="270"/>
      <c r="G128" s="270"/>
      <c r="H128" s="270"/>
      <c r="I128" s="270"/>
      <c r="J128" s="270"/>
      <c r="K128" s="270"/>
      <c r="L128" s="270"/>
      <c r="M128" s="270"/>
      <c r="N128" s="270"/>
      <c r="O128" s="304"/>
      <c r="P128" s="276">
        <f>ROUND(40*5,0)</f>
        <v>200</v>
      </c>
      <c r="Q128" s="276">
        <f>40*12</f>
        <v>480</v>
      </c>
      <c r="R128" s="256">
        <f t="shared" si="36"/>
        <v>-280</v>
      </c>
      <c r="S128" s="257">
        <f>IF(Q128=0,"NA",(+P128-Q128)/Q128)</f>
        <v>-0.58333333333333337</v>
      </c>
      <c r="T128" s="258"/>
      <c r="U128" s="255">
        <v>120</v>
      </c>
      <c r="V128" s="255">
        <v>200</v>
      </c>
      <c r="W128" s="257">
        <f t="shared" si="38"/>
        <v>-0.4</v>
      </c>
      <c r="X128" s="259" t="s">
        <v>242</v>
      </c>
      <c r="Y128" s="62"/>
    </row>
    <row r="129" spans="1:36">
      <c r="C129" s="258" t="s">
        <v>107</v>
      </c>
      <c r="D129" s="268"/>
      <c r="E129" s="269"/>
      <c r="F129" s="270"/>
      <c r="G129" s="270"/>
      <c r="H129" s="309"/>
      <c r="I129" s="309"/>
      <c r="J129" s="309"/>
      <c r="K129" s="309"/>
      <c r="L129" s="309"/>
      <c r="M129" s="309"/>
      <c r="N129" s="309"/>
      <c r="O129" s="258"/>
      <c r="P129" s="276">
        <v>0</v>
      </c>
      <c r="Q129" s="255">
        <v>350</v>
      </c>
      <c r="R129" s="256">
        <f t="shared" si="36"/>
        <v>-350</v>
      </c>
      <c r="S129" s="257">
        <f>IF(Q129=0,"NA",(+P129-Q129)/Q129)</f>
        <v>-1</v>
      </c>
      <c r="T129" s="258"/>
      <c r="U129" s="255">
        <v>0</v>
      </c>
      <c r="V129" s="255">
        <v>0</v>
      </c>
      <c r="W129" s="257" t="str">
        <f t="shared" si="38"/>
        <v>NA</v>
      </c>
      <c r="X129" s="259"/>
      <c r="Y129" s="58"/>
    </row>
    <row r="130" spans="1:36">
      <c r="A130" s="43">
        <v>90</v>
      </c>
      <c r="C130" s="263" t="s">
        <v>238</v>
      </c>
      <c r="D130" s="271"/>
      <c r="E130" s="272"/>
      <c r="F130" s="273"/>
      <c r="G130" s="273"/>
      <c r="H130" s="273"/>
      <c r="I130" s="273"/>
      <c r="J130" s="273"/>
      <c r="K130" s="273"/>
      <c r="L130" s="273"/>
      <c r="M130" s="273"/>
      <c r="N130" s="273"/>
      <c r="O130" s="263"/>
      <c r="P130" s="277">
        <v>0</v>
      </c>
      <c r="Q130" s="260">
        <f>500+500+1000</f>
        <v>2000</v>
      </c>
      <c r="R130" s="261">
        <f t="shared" si="36"/>
        <v>-2000</v>
      </c>
      <c r="S130" s="262">
        <f t="shared" si="37"/>
        <v>-1</v>
      </c>
      <c r="T130" s="263"/>
      <c r="U130" s="260">
        <v>0</v>
      </c>
      <c r="V130" s="260">
        <v>0</v>
      </c>
      <c r="W130" s="262" t="str">
        <f t="shared" si="38"/>
        <v>NA</v>
      </c>
      <c r="X130" s="264" t="s">
        <v>239</v>
      </c>
      <c r="Y130" s="59"/>
      <c r="AD130" s="418">
        <v>0.4</v>
      </c>
      <c r="AE130" s="418">
        <v>0.4</v>
      </c>
      <c r="AF130" s="418">
        <v>0.2</v>
      </c>
      <c r="AH130" s="35">
        <f>+AD130</f>
        <v>0.4</v>
      </c>
      <c r="AI130" s="35">
        <f>+AE130</f>
        <v>0.4</v>
      </c>
      <c r="AJ130" s="35">
        <f>+AF130</f>
        <v>0.2</v>
      </c>
    </row>
    <row r="131" spans="1:36" s="2" customFormat="1">
      <c r="A131" s="43">
        <v>91</v>
      </c>
      <c r="B131" s="24" t="s">
        <v>195</v>
      </c>
      <c r="C131" s="24"/>
      <c r="D131" s="24"/>
      <c r="E131" s="89"/>
      <c r="F131" s="89"/>
      <c r="G131" s="89"/>
      <c r="H131" s="89"/>
      <c r="I131" s="89"/>
      <c r="J131" s="89"/>
      <c r="K131" s="89"/>
      <c r="L131" s="89"/>
      <c r="M131" s="89"/>
      <c r="N131" s="89"/>
      <c r="O131" s="24"/>
      <c r="P131" s="24">
        <f>SUM(P125:P130)</f>
        <v>18950</v>
      </c>
      <c r="Q131" s="24">
        <f>SUM(Q125:Q130)</f>
        <v>50080</v>
      </c>
      <c r="R131" s="24">
        <f>SUM(R125:R130)</f>
        <v>-31130</v>
      </c>
      <c r="S131" s="25">
        <f t="shared" si="37"/>
        <v>-0.6216054313099042</v>
      </c>
      <c r="U131" s="24">
        <f>SUM(U125:U130)</f>
        <v>19282.849999999999</v>
      </c>
      <c r="V131" s="24">
        <f>SUM(V125:V130)</f>
        <v>18950</v>
      </c>
      <c r="W131" s="25">
        <f t="shared" si="38"/>
        <v>1.7564643799472219E-2</v>
      </c>
      <c r="X131" s="75"/>
      <c r="Y131" s="61"/>
      <c r="AD131" s="2">
        <f>+P131*AD130</f>
        <v>7580</v>
      </c>
      <c r="AE131" s="2">
        <f>+P131*AE130</f>
        <v>7580</v>
      </c>
      <c r="AF131" s="2">
        <f>+P131*AF130</f>
        <v>3790</v>
      </c>
      <c r="AH131" s="2">
        <f>+U131*AH130</f>
        <v>7713.1399999999994</v>
      </c>
      <c r="AI131" s="2">
        <f>+U131*AI130</f>
        <v>7713.1399999999994</v>
      </c>
      <c r="AJ131" s="2">
        <f>+U131*AJ130</f>
        <v>3856.5699999999997</v>
      </c>
    </row>
    <row r="132" spans="1:36" ht="4.5" customHeight="1">
      <c r="A132" s="43">
        <v>92</v>
      </c>
      <c r="S132" s="5"/>
      <c r="X132" s="74"/>
      <c r="Y132" s="59"/>
    </row>
    <row r="133" spans="1:36" ht="4.5" customHeight="1">
      <c r="S133" s="39"/>
      <c r="W133" s="39"/>
      <c r="X133" s="74"/>
      <c r="Y133" s="59"/>
    </row>
    <row r="134" spans="1:36">
      <c r="A134" s="43">
        <v>93</v>
      </c>
      <c r="B134" s="2" t="s">
        <v>167</v>
      </c>
      <c r="S134" s="5"/>
      <c r="X134" s="74"/>
      <c r="Y134" s="59"/>
    </row>
    <row r="135" spans="1:36" ht="14.4" customHeight="1">
      <c r="A135" s="43">
        <v>94</v>
      </c>
      <c r="C135" s="253" t="s">
        <v>42</v>
      </c>
      <c r="D135" s="265"/>
      <c r="E135" s="266"/>
      <c r="F135" s="310"/>
      <c r="G135" s="310"/>
      <c r="H135" s="308">
        <f>ROUND(+$Q135*(1+$F$95),0)</f>
        <v>21224</v>
      </c>
      <c r="I135" s="308"/>
      <c r="J135" s="308"/>
      <c r="K135" s="308"/>
      <c r="L135" s="308"/>
      <c r="M135" s="308"/>
      <c r="N135" s="308"/>
      <c r="O135" s="253"/>
      <c r="P135" s="284">
        <f>ROUND((+Q135*(1+F$95))/12*5,0)</f>
        <v>8843</v>
      </c>
      <c r="Q135" s="250">
        <v>20808</v>
      </c>
      <c r="R135" s="251">
        <f>+P135-Q135</f>
        <v>-11965</v>
      </c>
      <c r="S135" s="252">
        <f>IF(Q135=0,"NA",(+P135-Q135)/Q135)</f>
        <v>-0.57501922337562472</v>
      </c>
      <c r="T135" s="253"/>
      <c r="U135" s="250">
        <v>7958.7</v>
      </c>
      <c r="V135" s="250">
        <v>8843</v>
      </c>
      <c r="W135" s="252">
        <f>IF(V135=0,"NA",(+U135-V135)/V135)</f>
        <v>-0.10000000000000002</v>
      </c>
      <c r="X135" s="254" t="s">
        <v>374</v>
      </c>
      <c r="Y135" s="58" t="s">
        <v>120</v>
      </c>
      <c r="AE135" s="1">
        <f>+$P135</f>
        <v>8843</v>
      </c>
      <c r="AI135" s="1">
        <f>+$U135</f>
        <v>7958.7</v>
      </c>
    </row>
    <row r="136" spans="1:36" ht="44.5" customHeight="1">
      <c r="A136" s="43">
        <v>95</v>
      </c>
      <c r="C136" s="263" t="s">
        <v>44</v>
      </c>
      <c r="D136" s="271"/>
      <c r="E136" s="311">
        <v>2</v>
      </c>
      <c r="F136" s="312">
        <f>ROUND(+J136*(1+H136),2)</f>
        <v>10</v>
      </c>
      <c r="G136" s="311">
        <v>40</v>
      </c>
      <c r="H136" s="313">
        <v>0</v>
      </c>
      <c r="I136" s="311">
        <v>4</v>
      </c>
      <c r="J136" s="314">
        <v>10</v>
      </c>
      <c r="K136" s="311">
        <v>40</v>
      </c>
      <c r="L136" s="262">
        <f>IF(M136=0,0,(+J136-M136)/M136)</f>
        <v>0</v>
      </c>
      <c r="M136" s="315">
        <v>0</v>
      </c>
      <c r="N136" s="315"/>
      <c r="O136" s="263"/>
      <c r="P136" s="306">
        <f>ROUND(F136*E136*G136,0)</f>
        <v>800</v>
      </c>
      <c r="Q136" s="277">
        <v>800</v>
      </c>
      <c r="R136" s="261">
        <f>+P136-Q136</f>
        <v>0</v>
      </c>
      <c r="S136" s="262">
        <f>IF(Q136=0,"NA",(+P136-Q136)/Q136)</f>
        <v>0</v>
      </c>
      <c r="T136" s="263"/>
      <c r="U136" s="277">
        <v>353.33</v>
      </c>
      <c r="V136" s="260">
        <v>444.45</v>
      </c>
      <c r="W136" s="262">
        <f>IF(V136=0,"NA",(+U136-V136)/V136)</f>
        <v>-0.20501743728203398</v>
      </c>
      <c r="X136" s="334" t="str">
        <f>"Matt Nelson (not taking), Alyssa and Wendy at:  "&amp;Bud_Yr&amp;":  avg "&amp;E136&amp;" hrs/week at $"&amp;F136&amp;"/hr ("&amp;ROUND(H136*100,1)&amp;"% incr.) for "&amp;G136&amp;" weeks (Sept-May, excluding Lent).  "&amp;Bud_Yr-1&amp;":  avg "&amp;I136&amp;" hrs/week at $"&amp;J136&amp;"/hr ("&amp;ROUND(L136*100,1)&amp;"% incr.) for "&amp;K136&amp;" weeks.   "</f>
        <v xml:space="preserve">Matt Nelson (not taking), Alyssa and Wendy at:  2020:  avg 2 hrs/week at $10/hr (0% incr.) for 40 weeks (Sept-May, excluding Lent).  2019:  avg 4 hrs/week at $10/hr (0% incr.) for 40 weeks.   </v>
      </c>
      <c r="Y136" s="1" t="s">
        <v>121</v>
      </c>
      <c r="AE136" s="1">
        <f>+$P136</f>
        <v>800</v>
      </c>
      <c r="AI136" s="1">
        <f>+$U136</f>
        <v>353.33</v>
      </c>
    </row>
    <row r="137" spans="1:36" s="2" customFormat="1">
      <c r="A137" s="43">
        <v>96</v>
      </c>
      <c r="B137" s="24" t="s">
        <v>45</v>
      </c>
      <c r="C137" s="24"/>
      <c r="D137" s="24"/>
      <c r="E137" s="89"/>
      <c r="F137" s="89"/>
      <c r="G137" s="89"/>
      <c r="H137" s="89"/>
      <c r="I137" s="89"/>
      <c r="J137" s="89"/>
      <c r="K137" s="89"/>
      <c r="L137" s="89"/>
      <c r="M137" s="89"/>
      <c r="N137" s="89"/>
      <c r="O137" s="24"/>
      <c r="P137" s="24">
        <f>SUM(P135:P136)</f>
        <v>9643</v>
      </c>
      <c r="Q137" s="24">
        <f>SUM(Q135:Q136)</f>
        <v>21608</v>
      </c>
      <c r="R137" s="24">
        <f>SUM(R135:R136)</f>
        <v>-11965</v>
      </c>
      <c r="S137" s="25">
        <f>IF(Q137=0,"NA",(+P137-Q137)/Q137)</f>
        <v>-0.55373009996297673</v>
      </c>
      <c r="U137" s="24">
        <f>SUM(U135:U136)</f>
        <v>8312.0300000000007</v>
      </c>
      <c r="V137" s="24">
        <f>SUM(V135:V136)</f>
        <v>9287.4500000000007</v>
      </c>
      <c r="W137" s="25">
        <f>IF(V137=0,"NA",(+U137-V137)/V137)</f>
        <v>-0.10502559906109858</v>
      </c>
      <c r="X137" s="75"/>
      <c r="Y137" s="61"/>
    </row>
    <row r="138" spans="1:36" ht="6" customHeight="1">
      <c r="A138" s="43">
        <v>97</v>
      </c>
      <c r="S138" s="5"/>
      <c r="X138" s="74"/>
      <c r="Y138" s="59"/>
    </row>
    <row r="139" spans="1:36">
      <c r="A139" s="43">
        <v>107</v>
      </c>
      <c r="B139" s="2" t="s">
        <v>46</v>
      </c>
      <c r="S139" s="5"/>
      <c r="X139" s="74"/>
      <c r="Y139" s="59"/>
    </row>
    <row r="140" spans="1:36">
      <c r="A140" s="43">
        <v>108</v>
      </c>
      <c r="C140" s="253" t="s">
        <v>109</v>
      </c>
      <c r="D140" s="265"/>
      <c r="E140" s="266"/>
      <c r="F140" s="267"/>
      <c r="G140" s="267"/>
      <c r="H140" s="267"/>
      <c r="I140" s="267"/>
      <c r="J140" s="267"/>
      <c r="K140" s="267"/>
      <c r="L140" s="267"/>
      <c r="M140" s="267"/>
      <c r="N140" s="267"/>
      <c r="O140" s="316"/>
      <c r="P140" s="278">
        <f>ROUND(+Q140*(1+$F$95),0)</f>
        <v>16236</v>
      </c>
      <c r="Q140" s="250">
        <v>15918</v>
      </c>
      <c r="R140" s="251">
        <f t="shared" ref="R140:R149" si="39">+P140-Q140</f>
        <v>318</v>
      </c>
      <c r="S140" s="252">
        <f t="shared" ref="S140:S150" si="40">IF(Q140=0,"NA",(+P140-Q140)/Q140)</f>
        <v>1.9977384093479079E-2</v>
      </c>
      <c r="T140" s="253"/>
      <c r="U140" s="250">
        <v>6765</v>
      </c>
      <c r="V140" s="250">
        <v>6765</v>
      </c>
      <c r="W140" s="252">
        <f t="shared" ref="W140:W150" si="41">IF(V140=0,"NA",(+U140-V140)/V140)</f>
        <v>0</v>
      </c>
      <c r="X140" s="254" t="s">
        <v>428</v>
      </c>
      <c r="Y140" s="58" t="s">
        <v>148</v>
      </c>
      <c r="AD140" s="1">
        <f t="shared" ref="AD140:AE149" si="42">+$P140</f>
        <v>16236</v>
      </c>
      <c r="AH140" s="1">
        <f t="shared" ref="AH140:AI149" si="43">+$U140</f>
        <v>6765</v>
      </c>
    </row>
    <row r="141" spans="1:36">
      <c r="C141" s="253" t="s">
        <v>245</v>
      </c>
      <c r="D141" s="265"/>
      <c r="E141" s="266"/>
      <c r="F141" s="267"/>
      <c r="G141" s="267"/>
      <c r="H141" s="267"/>
      <c r="I141" s="267"/>
      <c r="J141" s="267"/>
      <c r="K141" s="267"/>
      <c r="L141" s="267"/>
      <c r="M141" s="267"/>
      <c r="N141" s="267"/>
      <c r="O141" s="316"/>
      <c r="P141" s="284">
        <f>+'Band and Other Music'!D13</f>
        <v>3060</v>
      </c>
      <c r="Q141" s="251">
        <f>+'Band and Other Music'!C13</f>
        <v>3000</v>
      </c>
      <c r="R141" s="251">
        <f>+P141-Q141</f>
        <v>60</v>
      </c>
      <c r="S141" s="252">
        <f>IF(Q141=0,"NA",(+P141-Q141)/Q141)</f>
        <v>0.02</v>
      </c>
      <c r="T141" s="253"/>
      <c r="U141" s="250">
        <v>1270</v>
      </c>
      <c r="V141" s="250">
        <v>1275</v>
      </c>
      <c r="W141" s="252">
        <f>IF(V141=0,"NA",(+U141-V141)/V141)</f>
        <v>-3.9215686274509803E-3</v>
      </c>
      <c r="X141" s="254" t="s">
        <v>429</v>
      </c>
      <c r="Y141" s="58" t="s">
        <v>148</v>
      </c>
      <c r="AD141" s="1">
        <f t="shared" si="42"/>
        <v>3060</v>
      </c>
      <c r="AH141" s="1">
        <f t="shared" si="43"/>
        <v>1270</v>
      </c>
    </row>
    <row r="142" spans="1:36">
      <c r="A142" s="43">
        <v>109</v>
      </c>
      <c r="C142" s="258" t="s">
        <v>47</v>
      </c>
      <c r="D142" s="268"/>
      <c r="E142" s="269"/>
      <c r="F142" s="270"/>
      <c r="G142" s="270"/>
      <c r="H142" s="270"/>
      <c r="I142" s="270"/>
      <c r="J142" s="270"/>
      <c r="K142" s="270"/>
      <c r="L142" s="270"/>
      <c r="M142" s="270"/>
      <c r="N142" s="270"/>
      <c r="O142" s="317"/>
      <c r="P142" s="255">
        <v>500</v>
      </c>
      <c r="Q142" s="255">
        <v>500</v>
      </c>
      <c r="R142" s="256">
        <f t="shared" si="39"/>
        <v>0</v>
      </c>
      <c r="S142" s="257">
        <f t="shared" si="40"/>
        <v>0</v>
      </c>
      <c r="T142" s="258"/>
      <c r="U142" s="255">
        <v>0</v>
      </c>
      <c r="V142" s="255">
        <v>208.35</v>
      </c>
      <c r="W142" s="257">
        <f t="shared" si="41"/>
        <v>-1</v>
      </c>
      <c r="X142" s="318"/>
      <c r="Y142" s="58" t="s">
        <v>151</v>
      </c>
      <c r="AD142" s="1">
        <f t="shared" si="42"/>
        <v>500</v>
      </c>
      <c r="AH142" s="1">
        <f t="shared" si="43"/>
        <v>0</v>
      </c>
    </row>
    <row r="143" spans="1:36" ht="28.5" customHeight="1">
      <c r="A143" s="43">
        <v>110</v>
      </c>
      <c r="C143" s="258" t="s">
        <v>48</v>
      </c>
      <c r="D143" s="268"/>
      <c r="E143" s="269"/>
      <c r="F143" s="270"/>
      <c r="G143" s="270"/>
      <c r="H143" s="270"/>
      <c r="I143" s="270"/>
      <c r="J143" s="270"/>
      <c r="K143" s="270"/>
      <c r="L143" s="270"/>
      <c r="M143" s="270"/>
      <c r="N143" s="270"/>
      <c r="O143" s="317"/>
      <c r="P143" s="292">
        <f>+'Band and Other Music'!D30</f>
        <v>13800</v>
      </c>
      <c r="Q143" s="255">
        <v>13290</v>
      </c>
      <c r="R143" s="256">
        <f t="shared" si="39"/>
        <v>510</v>
      </c>
      <c r="S143" s="257">
        <f t="shared" si="40"/>
        <v>3.8374717832957109E-2</v>
      </c>
      <c r="T143" s="258"/>
      <c r="U143" s="255">
        <v>5345</v>
      </c>
      <c r="V143" s="255">
        <v>7666.65</v>
      </c>
      <c r="W143" s="257">
        <f t="shared" si="41"/>
        <v>-0.30282457135776381</v>
      </c>
      <c r="X143" s="259" t="s">
        <v>392</v>
      </c>
      <c r="Y143" s="58" t="s">
        <v>150</v>
      </c>
      <c r="AD143" s="1">
        <f t="shared" si="42"/>
        <v>13800</v>
      </c>
      <c r="AH143" s="1">
        <f t="shared" si="43"/>
        <v>5345</v>
      </c>
    </row>
    <row r="144" spans="1:36" ht="29">
      <c r="A144" s="43">
        <v>110</v>
      </c>
      <c r="C144" s="716" t="s">
        <v>312</v>
      </c>
      <c r="D144" s="716"/>
      <c r="E144" s="269"/>
      <c r="F144" s="270"/>
      <c r="G144" s="270"/>
      <c r="H144" s="270"/>
      <c r="I144" s="270"/>
      <c r="J144" s="270"/>
      <c r="K144" s="270"/>
      <c r="L144" s="270"/>
      <c r="M144" s="270"/>
      <c r="N144" s="270"/>
      <c r="O144" s="317"/>
      <c r="P144" s="292">
        <f>+'Band and Other Music'!D53</f>
        <v>3000</v>
      </c>
      <c r="Q144" s="255">
        <v>3000</v>
      </c>
      <c r="R144" s="256">
        <f>+P144-Q144</f>
        <v>0</v>
      </c>
      <c r="S144" s="257">
        <f>IF(Q144=0,"NA",(+P144-Q144)/Q144)</f>
        <v>0</v>
      </c>
      <c r="T144" s="258"/>
      <c r="U144" s="255">
        <v>0</v>
      </c>
      <c r="V144" s="255">
        <v>0</v>
      </c>
      <c r="W144" s="257" t="str">
        <f>IF(V144=0,"NA",(+U144-V144)/V144)</f>
        <v>NA</v>
      </c>
      <c r="X144" s="259" t="s">
        <v>356</v>
      </c>
      <c r="Y144" s="58" t="s">
        <v>150</v>
      </c>
      <c r="AD144" s="1">
        <f t="shared" si="42"/>
        <v>3000</v>
      </c>
      <c r="AH144" s="1">
        <f t="shared" si="43"/>
        <v>0</v>
      </c>
    </row>
    <row r="145" spans="1:37">
      <c r="C145" s="258" t="s">
        <v>307</v>
      </c>
      <c r="D145" s="268"/>
      <c r="E145" s="269"/>
      <c r="F145" s="270"/>
      <c r="G145" s="270"/>
      <c r="H145" s="270"/>
      <c r="I145" s="270"/>
      <c r="J145" s="270"/>
      <c r="K145" s="270"/>
      <c r="L145" s="270"/>
      <c r="M145" s="270"/>
      <c r="N145" s="270"/>
      <c r="O145" s="317"/>
      <c r="P145" s="292">
        <f>+'Band and Other Music'!D42</f>
        <v>3375</v>
      </c>
      <c r="Q145" s="255">
        <v>3350</v>
      </c>
      <c r="R145" s="256">
        <f>+P145-Q145</f>
        <v>25</v>
      </c>
      <c r="S145" s="257">
        <f>IF(Q145=0,"NA",(+P145-Q145)/Q145)</f>
        <v>7.462686567164179E-3</v>
      </c>
      <c r="T145" s="258"/>
      <c r="U145" s="255">
        <v>450</v>
      </c>
      <c r="V145" s="255">
        <v>1406.25</v>
      </c>
      <c r="W145" s="257">
        <f>IF(V145=0,"NA",(+U145-V145)/V145)</f>
        <v>-0.68</v>
      </c>
      <c r="X145" s="318" t="s">
        <v>355</v>
      </c>
      <c r="Y145" s="58"/>
      <c r="AD145" s="1">
        <f t="shared" si="42"/>
        <v>3375</v>
      </c>
      <c r="AH145" s="1">
        <f t="shared" si="43"/>
        <v>450</v>
      </c>
    </row>
    <row r="146" spans="1:37">
      <c r="A146" s="43">
        <v>111</v>
      </c>
      <c r="C146" s="258" t="s">
        <v>49</v>
      </c>
      <c r="D146" s="268"/>
      <c r="E146" s="269"/>
      <c r="F146" s="270"/>
      <c r="G146" s="270"/>
      <c r="H146" s="270"/>
      <c r="I146" s="270"/>
      <c r="J146" s="270"/>
      <c r="K146" s="270"/>
      <c r="L146" s="270"/>
      <c r="M146" s="270"/>
      <c r="N146" s="270"/>
      <c r="O146" s="317"/>
      <c r="P146" s="292">
        <f>ROUND(+Q146*(1+$F$95),0)</f>
        <v>7634</v>
      </c>
      <c r="Q146" s="255">
        <v>7484</v>
      </c>
      <c r="R146" s="256">
        <f t="shared" si="39"/>
        <v>150</v>
      </c>
      <c r="S146" s="257">
        <f t="shared" si="40"/>
        <v>2.0042757883484766E-2</v>
      </c>
      <c r="T146" s="258"/>
      <c r="U146" s="255">
        <v>1908.5</v>
      </c>
      <c r="V146" s="255">
        <v>3817</v>
      </c>
      <c r="W146" s="257">
        <f t="shared" si="41"/>
        <v>-0.5</v>
      </c>
      <c r="X146" s="259" t="s">
        <v>420</v>
      </c>
      <c r="Y146" s="58" t="s">
        <v>149</v>
      </c>
      <c r="AD146" s="1">
        <f t="shared" si="42"/>
        <v>7634</v>
      </c>
      <c r="AH146" s="1">
        <f t="shared" si="43"/>
        <v>1908.5</v>
      </c>
    </row>
    <row r="147" spans="1:37" ht="29">
      <c r="A147" s="43">
        <v>112</v>
      </c>
      <c r="C147" s="258" t="s">
        <v>50</v>
      </c>
      <c r="D147" s="268"/>
      <c r="E147" s="722" t="s">
        <v>164</v>
      </c>
      <c r="F147" s="723"/>
      <c r="G147" s="723"/>
      <c r="H147" s="723"/>
      <c r="I147" s="723"/>
      <c r="J147" s="723"/>
      <c r="K147" s="723"/>
      <c r="L147" s="723"/>
      <c r="M147" s="723"/>
      <c r="N147" s="723"/>
      <c r="O147" s="723"/>
      <c r="P147" s="276">
        <v>1500</v>
      </c>
      <c r="Q147" s="255">
        <v>1785</v>
      </c>
      <c r="R147" s="256">
        <f t="shared" si="39"/>
        <v>-285</v>
      </c>
      <c r="S147" s="257">
        <f t="shared" si="40"/>
        <v>-0.15966386554621848</v>
      </c>
      <c r="T147" s="258"/>
      <c r="U147" s="255">
        <v>0</v>
      </c>
      <c r="V147" s="255">
        <v>833.35</v>
      </c>
      <c r="W147" s="257">
        <f t="shared" si="41"/>
        <v>-1</v>
      </c>
      <c r="X147" s="259" t="s">
        <v>430</v>
      </c>
      <c r="Y147" s="58" t="s">
        <v>151</v>
      </c>
      <c r="AE147" s="1">
        <f t="shared" si="42"/>
        <v>1500</v>
      </c>
      <c r="AI147" s="1">
        <f t="shared" si="43"/>
        <v>0</v>
      </c>
    </row>
    <row r="148" spans="1:37">
      <c r="C148" s="258" t="s">
        <v>404</v>
      </c>
      <c r="D148" s="268"/>
      <c r="P148" s="276">
        <v>0</v>
      </c>
      <c r="Q148" s="255">
        <v>0</v>
      </c>
      <c r="R148" s="256">
        <f t="shared" si="39"/>
        <v>0</v>
      </c>
      <c r="S148" s="257" t="str">
        <f>IF(Q148=0,"NA",(+P148-Q148)/Q148)</f>
        <v>NA</v>
      </c>
      <c r="T148" s="258"/>
      <c r="U148" s="276">
        <v>0</v>
      </c>
      <c r="V148" s="255">
        <v>0</v>
      </c>
      <c r="W148" s="257" t="str">
        <f>IF(V148=0,"NA",(+U148-V148)/V148)</f>
        <v>NA</v>
      </c>
      <c r="X148" s="259"/>
      <c r="Y148" s="70" t="s">
        <v>147</v>
      </c>
      <c r="AE148" s="1">
        <f t="shared" si="42"/>
        <v>0</v>
      </c>
      <c r="AI148" s="1">
        <f t="shared" si="43"/>
        <v>0</v>
      </c>
    </row>
    <row r="149" spans="1:37">
      <c r="A149" s="43">
        <v>113</v>
      </c>
      <c r="C149" s="263" t="s">
        <v>110</v>
      </c>
      <c r="D149" s="271"/>
      <c r="E149" s="720">
        <f>Bud_Yr</f>
        <v>2020</v>
      </c>
      <c r="F149" s="721"/>
      <c r="G149" s="721"/>
      <c r="H149" s="721"/>
      <c r="I149" s="721">
        <f>Bud_Yr-1</f>
        <v>2019</v>
      </c>
      <c r="J149" s="721"/>
      <c r="K149" s="721"/>
      <c r="L149" s="721"/>
      <c r="M149" s="319">
        <f>Bud_Yr-2</f>
        <v>2018</v>
      </c>
      <c r="N149" s="319">
        <v>2017</v>
      </c>
      <c r="O149" s="319">
        <v>2016</v>
      </c>
      <c r="P149" s="306">
        <f>ROUND(+Q149*(1+$F$96),0)</f>
        <v>2759</v>
      </c>
      <c r="Q149" s="260">
        <v>2759</v>
      </c>
      <c r="R149" s="261">
        <f t="shared" si="39"/>
        <v>0</v>
      </c>
      <c r="S149" s="262">
        <f t="shared" si="40"/>
        <v>0</v>
      </c>
      <c r="T149" s="263"/>
      <c r="U149" s="260">
        <v>608.64</v>
      </c>
      <c r="V149" s="260">
        <v>1149.5999999999999</v>
      </c>
      <c r="W149" s="262">
        <f t="shared" si="41"/>
        <v>-0.47056367432150309</v>
      </c>
      <c r="X149" s="264" t="s">
        <v>185</v>
      </c>
      <c r="Y149" s="58" t="s">
        <v>151</v>
      </c>
      <c r="AD149" s="1">
        <f t="shared" si="42"/>
        <v>2759</v>
      </c>
      <c r="AH149" s="1">
        <f t="shared" si="43"/>
        <v>608.64</v>
      </c>
    </row>
    <row r="150" spans="1:37" s="2" customFormat="1" ht="15" thickBot="1">
      <c r="A150" s="43">
        <v>114</v>
      </c>
      <c r="B150" s="24" t="s">
        <v>51</v>
      </c>
      <c r="C150" s="24"/>
      <c r="D150" s="24"/>
      <c r="E150" s="97" t="s">
        <v>162</v>
      </c>
      <c r="F150" s="98" t="s">
        <v>163</v>
      </c>
      <c r="G150" s="98" t="s">
        <v>166</v>
      </c>
      <c r="H150" s="98" t="s">
        <v>161</v>
      </c>
      <c r="I150" s="98" t="s">
        <v>162</v>
      </c>
      <c r="J150" s="98" t="s">
        <v>163</v>
      </c>
      <c r="K150" s="98" t="s">
        <v>166</v>
      </c>
      <c r="L150" s="98" t="s">
        <v>161</v>
      </c>
      <c r="M150" s="99" t="s">
        <v>163</v>
      </c>
      <c r="N150" s="99" t="s">
        <v>163</v>
      </c>
      <c r="O150" s="99" t="s">
        <v>163</v>
      </c>
      <c r="P150" s="24">
        <f>SUM(P140:P149)</f>
        <v>51864</v>
      </c>
      <c r="Q150" s="24">
        <f>SUM(Q140:Q149)</f>
        <v>51086</v>
      </c>
      <c r="R150" s="24">
        <f>SUM(R140:R149)</f>
        <v>778</v>
      </c>
      <c r="S150" s="25">
        <f t="shared" si="40"/>
        <v>1.5229221313079905E-2</v>
      </c>
      <c r="U150" s="24">
        <f>SUM(U140:U149)</f>
        <v>16347.14</v>
      </c>
      <c r="V150" s="24">
        <f>SUM(V140:V149)</f>
        <v>23121.199999999997</v>
      </c>
      <c r="W150" s="25">
        <f t="shared" si="41"/>
        <v>-0.29298046814179191</v>
      </c>
      <c r="X150" s="75"/>
      <c r="Y150" s="61"/>
    </row>
    <row r="151" spans="1:37" ht="6.75" customHeight="1">
      <c r="A151" s="43">
        <v>115</v>
      </c>
      <c r="S151" s="5"/>
      <c r="X151" s="74"/>
      <c r="Y151" s="59"/>
    </row>
    <row r="152" spans="1:37" ht="14.25" customHeight="1">
      <c r="A152" s="43">
        <v>116</v>
      </c>
      <c r="B152" s="2" t="s">
        <v>52</v>
      </c>
      <c r="O152" s="26"/>
      <c r="P152" s="26"/>
      <c r="Q152" s="26"/>
      <c r="R152" s="26"/>
      <c r="S152" s="5"/>
      <c r="X152" s="74"/>
      <c r="Y152" s="59"/>
      <c r="Z152" s="39"/>
      <c r="AD152" s="418">
        <v>0.33300000000000002</v>
      </c>
      <c r="AE152" s="418">
        <v>0.33300000000000002</v>
      </c>
      <c r="AF152" s="418">
        <v>0.33400000000000002</v>
      </c>
      <c r="AH152" s="35">
        <f>+AD152</f>
        <v>0.33300000000000002</v>
      </c>
      <c r="AI152" s="35">
        <f>+AE152</f>
        <v>0.33300000000000002</v>
      </c>
      <c r="AJ152" s="35">
        <f>+AF152</f>
        <v>0.33400000000000002</v>
      </c>
    </row>
    <row r="153" spans="1:37" ht="27.65" customHeight="1">
      <c r="C153" s="253" t="s">
        <v>451</v>
      </c>
      <c r="D153" s="265"/>
      <c r="E153" s="626">
        <v>40</v>
      </c>
      <c r="F153" s="627">
        <f>ROUND(+J153*(1+H153),2)</f>
        <v>17.34</v>
      </c>
      <c r="G153" s="626">
        <v>52</v>
      </c>
      <c r="H153" s="628">
        <f>+$F$95</f>
        <v>0.02</v>
      </c>
      <c r="I153" s="626">
        <v>40</v>
      </c>
      <c r="J153" s="629">
        <v>17</v>
      </c>
      <c r="K153" s="626">
        <v>52</v>
      </c>
      <c r="L153" s="252">
        <f>IF(M153=0,0,(+K153-M153)/M153)</f>
        <v>0</v>
      </c>
      <c r="M153" s="630"/>
      <c r="N153" s="630"/>
      <c r="O153" s="316"/>
      <c r="P153" s="284">
        <f>ROUND(E153*F153*G153,0)</f>
        <v>36067</v>
      </c>
      <c r="Q153" s="284">
        <f>ROUND(I153*J153*K153,0)</f>
        <v>35360</v>
      </c>
      <c r="R153" s="251">
        <f>+P153-Q153</f>
        <v>707</v>
      </c>
      <c r="S153" s="252">
        <f>IF(Q153=0,"NA",(+P153-Q153)/Q153)</f>
        <v>1.9994343891402713E-2</v>
      </c>
      <c r="T153" s="253"/>
      <c r="U153" s="250">
        <v>13845.7</v>
      </c>
      <c r="V153" s="250">
        <v>15027.9</v>
      </c>
      <c r="W153" s="252">
        <f>IF(V153=0,"NA",(+U153-V153)/V153)</f>
        <v>-7.8667012689730365E-2</v>
      </c>
      <c r="X153" s="254" t="s">
        <v>244</v>
      </c>
      <c r="Y153" s="69"/>
      <c r="Z153" s="46"/>
      <c r="AD153" s="1">
        <f t="shared" ref="AD153:AD154" si="44">+$P153*AD$152</f>
        <v>12010.311000000002</v>
      </c>
      <c r="AE153" s="1">
        <f t="shared" ref="AE153:AF154" si="45">+$P153*AE$152</f>
        <v>12010.311000000002</v>
      </c>
      <c r="AF153" s="1">
        <f t="shared" si="45"/>
        <v>12046.378000000001</v>
      </c>
      <c r="AH153" s="1">
        <f t="shared" ref="AH153:AH154" si="46">+$U153*AH$152</f>
        <v>4610.6181000000006</v>
      </c>
      <c r="AI153" s="1">
        <f t="shared" ref="AI153:AJ154" si="47">+$U153*AI$152</f>
        <v>4610.6181000000006</v>
      </c>
      <c r="AJ153" s="1">
        <f t="shared" si="47"/>
        <v>4624.4638000000004</v>
      </c>
    </row>
    <row r="154" spans="1:37">
      <c r="A154" s="43">
        <v>122</v>
      </c>
      <c r="C154" s="258" t="s">
        <v>452</v>
      </c>
      <c r="D154" s="268"/>
      <c r="E154" s="320"/>
      <c r="F154" s="324"/>
      <c r="G154" s="320"/>
      <c r="H154" s="325"/>
      <c r="I154" s="320"/>
      <c r="J154" s="321"/>
      <c r="K154" s="320"/>
      <c r="L154" s="257"/>
      <c r="M154" s="323"/>
      <c r="N154" s="323"/>
      <c r="O154" s="256"/>
      <c r="P154" s="276">
        <v>1000</v>
      </c>
      <c r="Q154" s="276">
        <v>1000</v>
      </c>
      <c r="R154" s="256">
        <f>+P154-Q154</f>
        <v>0</v>
      </c>
      <c r="S154" s="257">
        <f>IF(Q154=0,"NA",(+P154-Q154)/Q154)</f>
        <v>0</v>
      </c>
      <c r="T154" s="258"/>
      <c r="U154" s="255">
        <v>0</v>
      </c>
      <c r="V154" s="255">
        <v>416.65</v>
      </c>
      <c r="W154" s="257">
        <f>IF(V154=0,"NA",(+U154-V154)/V154)</f>
        <v>-1</v>
      </c>
      <c r="X154" s="259" t="s">
        <v>357</v>
      </c>
      <c r="Y154" s="62" t="s">
        <v>122</v>
      </c>
      <c r="Z154" s="46"/>
      <c r="AD154" s="1">
        <f t="shared" si="44"/>
        <v>333</v>
      </c>
      <c r="AE154" s="1">
        <f t="shared" si="45"/>
        <v>333</v>
      </c>
      <c r="AF154" s="1">
        <f t="shared" si="45"/>
        <v>334</v>
      </c>
      <c r="AH154" s="1">
        <f t="shared" si="46"/>
        <v>0</v>
      </c>
      <c r="AI154" s="1">
        <f t="shared" si="47"/>
        <v>0</v>
      </c>
      <c r="AJ154" s="1">
        <f t="shared" si="47"/>
        <v>0</v>
      </c>
    </row>
    <row r="155" spans="1:37" ht="29.4" customHeight="1">
      <c r="A155" s="43">
        <v>118</v>
      </c>
      <c r="C155" s="258" t="s">
        <v>54</v>
      </c>
      <c r="D155" s="268"/>
      <c r="E155" s="326">
        <v>25</v>
      </c>
      <c r="F155" s="324">
        <f>ROUND(+J155*(1+H155),2)</f>
        <v>13.64</v>
      </c>
      <c r="G155" s="320">
        <v>52</v>
      </c>
      <c r="H155" s="322">
        <f>+$F$95</f>
        <v>0.02</v>
      </c>
      <c r="I155" s="320">
        <v>25</v>
      </c>
      <c r="J155" s="321">
        <v>13.37</v>
      </c>
      <c r="K155" s="320">
        <v>52</v>
      </c>
      <c r="L155" s="257">
        <f>IF(M155=0,0,(+J155-M155)/M155)</f>
        <v>1.9832189168573593E-2</v>
      </c>
      <c r="M155" s="321">
        <v>13.11</v>
      </c>
      <c r="N155" s="323">
        <v>12.85</v>
      </c>
      <c r="O155" s="317"/>
      <c r="P155" s="292">
        <f>ROUND((E155*F155*G155)+(E156*F156*G156)+(E157*F157*G157),0)</f>
        <v>34141</v>
      </c>
      <c r="Q155" s="292">
        <f>ROUND((I155*J155*K155)+(I156*J156*K156)+(I157*J157*K157),0)</f>
        <v>33465</v>
      </c>
      <c r="R155" s="256">
        <f t="shared" ref="R155:R164" si="48">+P155-Q155</f>
        <v>676</v>
      </c>
      <c r="S155" s="257">
        <f t="shared" ref="S155:S166" si="49">IF(Q155=0,"NA",(+P155-Q155)/Q155)</f>
        <v>2.0200209173763632E-2</v>
      </c>
      <c r="T155" s="258"/>
      <c r="U155" s="276">
        <v>13104.79</v>
      </c>
      <c r="V155" s="255">
        <v>14225.4</v>
      </c>
      <c r="W155" s="257">
        <f t="shared" ref="W155:W166" si="50">IF(V155=0,"NA",(+U155-V155)/V155)</f>
        <v>-7.8775289271303353E-2</v>
      </c>
      <c r="X155" s="259" t="str">
        <f>"Marc Henkel:  "&amp;Bud_Yr&amp;":  avg "&amp;E155&amp;" hrs/week at $"&amp;F155&amp;"/hr ("&amp;ROUND(H155*100,1)&amp;"% incr.) for "&amp;G155&amp;" weeks.                                       "&amp;Bud_Yr-1&amp;":  avg "&amp;I155&amp;" hrs/week at $"&amp;J155&amp;"/hr ("&amp;ROUND(L155*100,1)&amp;"% incr.) for "&amp;K155&amp;" weeks.   "</f>
        <v xml:space="preserve">Marc Henkel:  2020:  avg 25 hrs/week at $13.64/hr (2% incr.) for 52 weeks.                                       2019:  avg 25 hrs/week at $13.37/hr (2% incr.) for 52 weeks.   </v>
      </c>
      <c r="Y155" s="58" t="s">
        <v>124</v>
      </c>
      <c r="AA155" s="78"/>
      <c r="AG155" s="1">
        <f>+$P155</f>
        <v>34141</v>
      </c>
      <c r="AK155" s="1">
        <f>+$U155</f>
        <v>13104.79</v>
      </c>
    </row>
    <row r="156" spans="1:37" ht="29">
      <c r="C156" s="258"/>
      <c r="D156" s="268"/>
      <c r="E156" s="326">
        <v>20</v>
      </c>
      <c r="F156" s="324">
        <f>ROUND(+J156*(1+H156),2)</f>
        <v>11.57</v>
      </c>
      <c r="G156" s="320">
        <v>52</v>
      </c>
      <c r="H156" s="322">
        <f>+$F$95</f>
        <v>0.02</v>
      </c>
      <c r="I156" s="320">
        <v>20</v>
      </c>
      <c r="J156" s="321">
        <v>11.34</v>
      </c>
      <c r="K156" s="320">
        <v>52</v>
      </c>
      <c r="L156" s="257">
        <f>IF(M156=0,0,(+J156-M156)/M156)</f>
        <v>1.9784172661870561E-2</v>
      </c>
      <c r="M156" s="321">
        <v>11.12</v>
      </c>
      <c r="N156" s="321">
        <v>10.9</v>
      </c>
      <c r="O156" s="323">
        <v>10.7</v>
      </c>
      <c r="P156" s="292"/>
      <c r="Q156" s="292"/>
      <c r="R156" s="256"/>
      <c r="S156" s="257"/>
      <c r="T156" s="258"/>
      <c r="U156" s="276"/>
      <c r="V156" s="255"/>
      <c r="W156" s="257"/>
      <c r="X156" s="259" t="str">
        <f>"Rebecca Arreola:  "&amp;Bud_Yr&amp;":  avg "&amp;E156&amp;" hrs/week at $"&amp;F156&amp;"/hr ("&amp;ROUND(H156*100,1)&amp;"% incr.) for "&amp;G156&amp;" weeks.                                    "&amp;Bud_Yr-1&amp;":  avg "&amp;I156&amp;" hrs/week at $"&amp;J156&amp;"/hr ("&amp;ROUND(L156*100,1)&amp;"% incr.) for "&amp;K156&amp;" weeks.   "&amp;Bud_Yr-2&amp;":  $"&amp;M156&amp;"/hour."</f>
        <v>Rebecca Arreola:  2020:  avg 20 hrs/week at $11.57/hr (2% incr.) for 52 weeks.                                    2019:  avg 20 hrs/week at $11.34/hr (2% incr.) for 52 weeks.   2018:  $11.12/hour.</v>
      </c>
      <c r="Y156" s="58"/>
      <c r="Z156" s="26"/>
      <c r="AA156" s="78"/>
    </row>
    <row r="157" spans="1:37" ht="29">
      <c r="C157" s="258"/>
      <c r="D157" s="268"/>
      <c r="E157" s="326">
        <v>7.5</v>
      </c>
      <c r="F157" s="428">
        <f>ROUND(+J157*(1+H157),2)</f>
        <v>11.22</v>
      </c>
      <c r="G157" s="320">
        <v>52</v>
      </c>
      <c r="H157" s="322">
        <f>+$F$95</f>
        <v>0.02</v>
      </c>
      <c r="I157" s="326">
        <v>7.5</v>
      </c>
      <c r="J157" s="321">
        <v>11</v>
      </c>
      <c r="K157" s="320">
        <v>52</v>
      </c>
      <c r="L157" s="257">
        <f>IF(M157=0,0,(+J157-M157)/M157)</f>
        <v>-2.2222222222222223E-2</v>
      </c>
      <c r="M157" s="321">
        <v>11.25</v>
      </c>
      <c r="N157" s="321">
        <v>11.25</v>
      </c>
      <c r="O157" s="323">
        <v>7.77</v>
      </c>
      <c r="P157" s="292"/>
      <c r="Q157" s="292"/>
      <c r="R157" s="256"/>
      <c r="S157" s="257"/>
      <c r="T157" s="258"/>
      <c r="U157" s="276"/>
      <c r="V157" s="255"/>
      <c r="W157" s="257"/>
      <c r="X157" s="259" t="str">
        <f>"Glenn Napier for "&amp;Bud_Yr&amp;":  avg "&amp;E157&amp;" hrs/week at $"&amp;F157&amp;"/hr ("&amp;ROUND(H157*100,1)&amp;"% incr.) for "&amp;G157&amp;" weeks.                                                     "&amp;Bud_Yr-1&amp;":  avg "&amp;I157&amp;" hrs/week at $"&amp;J157&amp;"/hr ("&amp;ROUND(L157*100,1)&amp;"% incr.) for "&amp;K157&amp;" weeks.   "&amp;Bud_Yr-2&amp;":  $"&amp;M157&amp;"/hour."</f>
        <v>Glenn Napier for 2020:  avg 7.5 hrs/week at $11.22/hr (2% incr.) for 52 weeks.                                                     2019:  avg 7.5 hrs/week at $11/hr (-2.2% incr.) for 52 weeks.   2018:  $11.25/hour.</v>
      </c>
      <c r="Y157" s="58"/>
      <c r="Z157" s="26"/>
      <c r="AA157" s="78"/>
    </row>
    <row r="158" spans="1:37">
      <c r="A158" s="43">
        <v>119</v>
      </c>
      <c r="C158" s="258" t="s">
        <v>55</v>
      </c>
      <c r="D158" s="268"/>
      <c r="E158" s="269"/>
      <c r="F158" s="270"/>
      <c r="G158" s="270"/>
      <c r="H158" s="270"/>
      <c r="I158" s="270"/>
      <c r="J158" s="270"/>
      <c r="K158" s="270"/>
      <c r="L158" s="270"/>
      <c r="M158" s="270"/>
      <c r="N158" s="270"/>
      <c r="O158" s="258"/>
      <c r="P158" s="276">
        <v>400</v>
      </c>
      <c r="Q158" s="255">
        <v>400</v>
      </c>
      <c r="R158" s="256">
        <f t="shared" si="48"/>
        <v>0</v>
      </c>
      <c r="S158" s="257">
        <f t="shared" si="49"/>
        <v>0</v>
      </c>
      <c r="T158" s="258"/>
      <c r="U158" s="276">
        <v>0</v>
      </c>
      <c r="V158" s="255">
        <v>166.65</v>
      </c>
      <c r="W158" s="257">
        <f t="shared" si="50"/>
        <v>-1</v>
      </c>
      <c r="X158" s="259" t="s">
        <v>431</v>
      </c>
      <c r="Y158" s="62"/>
      <c r="AA158" s="78"/>
      <c r="AD158" s="1">
        <f t="shared" ref="AD158:AF159" si="51">+$P158*AD$152</f>
        <v>133.20000000000002</v>
      </c>
      <c r="AE158" s="1">
        <f t="shared" si="51"/>
        <v>133.20000000000002</v>
      </c>
      <c r="AF158" s="1">
        <f t="shared" si="51"/>
        <v>133.6</v>
      </c>
      <c r="AH158" s="1">
        <f t="shared" ref="AH158:AJ159" si="52">+$U158*AH$152</f>
        <v>0</v>
      </c>
      <c r="AI158" s="1">
        <f t="shared" si="52"/>
        <v>0</v>
      </c>
      <c r="AJ158" s="1">
        <f t="shared" si="52"/>
        <v>0</v>
      </c>
    </row>
    <row r="159" spans="1:37">
      <c r="A159" s="43">
        <v>120</v>
      </c>
      <c r="C159" s="258" t="s">
        <v>99</v>
      </c>
      <c r="D159" s="268"/>
      <c r="E159" s="269"/>
      <c r="F159" s="270"/>
      <c r="G159" s="270"/>
      <c r="H159" s="270"/>
      <c r="I159" s="270"/>
      <c r="J159" s="270"/>
      <c r="K159" s="270"/>
      <c r="L159" s="270"/>
      <c r="M159" s="270"/>
      <c r="N159" s="270"/>
      <c r="O159" s="258"/>
      <c r="P159" s="276">
        <f>700</f>
        <v>700</v>
      </c>
      <c r="Q159" s="255">
        <v>700</v>
      </c>
      <c r="R159" s="256">
        <f t="shared" si="48"/>
        <v>0</v>
      </c>
      <c r="S159" s="257">
        <f t="shared" si="49"/>
        <v>0</v>
      </c>
      <c r="T159" s="258"/>
      <c r="U159" s="255">
        <v>0</v>
      </c>
      <c r="V159" s="255">
        <v>291.64999999999998</v>
      </c>
      <c r="W159" s="257">
        <f t="shared" si="50"/>
        <v>-1</v>
      </c>
      <c r="X159" s="259"/>
      <c r="Y159" s="62"/>
      <c r="AA159" s="78"/>
      <c r="AD159" s="1">
        <f t="shared" si="51"/>
        <v>233.10000000000002</v>
      </c>
      <c r="AE159" s="1">
        <f t="shared" si="51"/>
        <v>233.10000000000002</v>
      </c>
      <c r="AF159" s="1">
        <f t="shared" si="51"/>
        <v>233.8</v>
      </c>
      <c r="AH159" s="1">
        <f t="shared" si="52"/>
        <v>0</v>
      </c>
      <c r="AI159" s="1">
        <f t="shared" si="52"/>
        <v>0</v>
      </c>
      <c r="AJ159" s="1">
        <f t="shared" si="52"/>
        <v>0</v>
      </c>
    </row>
    <row r="160" spans="1:37" ht="14" customHeight="1">
      <c r="C160" s="258" t="s">
        <v>116</v>
      </c>
      <c r="D160" s="268"/>
      <c r="E160" s="269"/>
      <c r="F160" s="270"/>
      <c r="G160" s="270"/>
      <c r="H160" s="327"/>
      <c r="I160" s="327"/>
      <c r="J160" s="327"/>
      <c r="K160" s="327"/>
      <c r="L160" s="327"/>
      <c r="M160" s="327"/>
      <c r="N160" s="327"/>
      <c r="O160" s="328"/>
      <c r="P160" s="292">
        <f>+'Band and Other Music'!D60</f>
        <v>925</v>
      </c>
      <c r="Q160" s="255">
        <v>925</v>
      </c>
      <c r="R160" s="256">
        <f t="shared" si="48"/>
        <v>0</v>
      </c>
      <c r="S160" s="257">
        <f>IF(Q160=0,"NA",(+P160-Q160)/Q160)</f>
        <v>0</v>
      </c>
      <c r="T160" s="258"/>
      <c r="U160" s="276">
        <v>0</v>
      </c>
      <c r="V160" s="255">
        <v>513.9</v>
      </c>
      <c r="W160" s="257">
        <f>IF(V160=0,"NA",(+U160-V160)/V160)</f>
        <v>-1</v>
      </c>
      <c r="X160" s="259" t="s">
        <v>425</v>
      </c>
      <c r="Y160" s="58" t="s">
        <v>135</v>
      </c>
      <c r="AA160" s="78"/>
      <c r="AD160" s="1">
        <f t="shared" ref="AD160" si="53">+$P160</f>
        <v>925</v>
      </c>
      <c r="AH160" s="1">
        <f t="shared" ref="AH160" si="54">+$U160</f>
        <v>0</v>
      </c>
    </row>
    <row r="161" spans="1:37" ht="29">
      <c r="C161" s="724" t="s">
        <v>468</v>
      </c>
      <c r="D161" s="724"/>
      <c r="E161" s="320">
        <v>15</v>
      </c>
      <c r="F161" s="324">
        <f>ROUND(+J161*(1+H161),2)</f>
        <v>14.57</v>
      </c>
      <c r="G161" s="320">
        <v>52</v>
      </c>
      <c r="H161" s="322">
        <f>+$F$95</f>
        <v>0.02</v>
      </c>
      <c r="I161" s="320">
        <v>15</v>
      </c>
      <c r="J161" s="321">
        <v>14.28</v>
      </c>
      <c r="K161" s="320">
        <v>52</v>
      </c>
      <c r="L161" s="257">
        <f>IF(M161=0,0,(+J161-M161)/M161)</f>
        <v>1.9999999999999955E-2</v>
      </c>
      <c r="M161" s="321">
        <v>14</v>
      </c>
      <c r="N161" s="321">
        <v>14</v>
      </c>
      <c r="O161" s="258"/>
      <c r="P161" s="329">
        <f>ROUND(+E161*F161*G161,0)</f>
        <v>11365</v>
      </c>
      <c r="Q161" s="292">
        <f>ROUND(+I161*J161*K161,0)</f>
        <v>11138</v>
      </c>
      <c r="R161" s="256">
        <f>+P161-Q161</f>
        <v>227</v>
      </c>
      <c r="S161" s="257">
        <f>IF(Q161=0,"NA",(+P161-Q161)/Q161)</f>
        <v>2.0380678757407074E-2</v>
      </c>
      <c r="T161" s="258"/>
      <c r="U161" s="276">
        <v>4352.55</v>
      </c>
      <c r="V161" s="255">
        <v>4735.3999999999996</v>
      </c>
      <c r="W161" s="257">
        <f>IF(V161=0,"NA",(+U161-V161)/V161)</f>
        <v>-8.0848502766397656E-2</v>
      </c>
      <c r="X161" s="259" t="str">
        <f>"Heather Keszler:  "&amp;Bud_Yr&amp;":  avg "&amp;E161&amp;" hrs/week at $"&amp;F161&amp;"/hr ("&amp;ROUND(H161*100,1)&amp;"% incr.) for "&amp;G161&amp;" weeks.                       "&amp;Bud_Yr-1&amp;":  avg "&amp;I161&amp;" hrs/week at $"&amp;J161&amp;"/hr ("&amp;ROUND(L161*100,1)&amp;"% incr.) for "&amp;K161&amp;" weeks.   "</f>
        <v xml:space="preserve">Heather Keszler:  2020:  avg 15 hrs/week at $14.57/hr (2% incr.) for 52 weeks.                       2019:  avg 15 hrs/week at $14.28/hr (2% incr.) for 52 weeks.   </v>
      </c>
      <c r="Y161" s="59"/>
      <c r="AD161" s="1">
        <f>+$P161*AD$152</f>
        <v>3784.5450000000001</v>
      </c>
      <c r="AE161" s="1">
        <f t="shared" ref="AE161:AF163" si="55">+$P161*AE$152</f>
        <v>3784.5450000000001</v>
      </c>
      <c r="AF161" s="1">
        <f t="shared" si="55"/>
        <v>3795.9100000000003</v>
      </c>
      <c r="AH161" s="1">
        <f>+$U161*AH$152</f>
        <v>1449.3991500000002</v>
      </c>
      <c r="AI161" s="1">
        <f t="shared" ref="AI161:AJ163" si="56">+$U161*AI$152</f>
        <v>1449.3991500000002</v>
      </c>
      <c r="AJ161" s="1">
        <f t="shared" si="56"/>
        <v>1453.7517000000003</v>
      </c>
    </row>
    <row r="162" spans="1:37" ht="14.5" customHeight="1">
      <c r="A162" s="43">
        <v>123</v>
      </c>
      <c r="C162" s="258" t="s">
        <v>56</v>
      </c>
      <c r="D162" s="268"/>
      <c r="E162" s="330"/>
      <c r="F162" s="477"/>
      <c r="G162" s="330"/>
      <c r="H162" s="330"/>
      <c r="I162" s="330"/>
      <c r="J162" s="331"/>
      <c r="K162" s="332"/>
      <c r="L162" s="332"/>
      <c r="M162" s="333">
        <v>7.6499999999999999E-2</v>
      </c>
      <c r="N162" s="333"/>
      <c r="O162" s="258"/>
      <c r="P162" s="292">
        <f>ROUND((+P125+P135+P136+P150+P153+P154+P155+P160+P161+P164)*$M162,0)</f>
        <v>12642</v>
      </c>
      <c r="Q162" s="429">
        <f>ROUND((+Q125+Q135+Q136+Q150+Q153+Q155+Q160+Q164)*$M162,0)-143</f>
        <v>14349</v>
      </c>
      <c r="R162" s="256">
        <f t="shared" si="48"/>
        <v>-1707</v>
      </c>
      <c r="S162" s="257">
        <f t="shared" si="49"/>
        <v>-0.11896299393685972</v>
      </c>
      <c r="T162" s="258"/>
      <c r="U162" s="276">
        <v>4356.88</v>
      </c>
      <c r="V162" s="276">
        <v>5267.5</v>
      </c>
      <c r="W162" s="257">
        <f t="shared" si="50"/>
        <v>-0.17287517797816798</v>
      </c>
      <c r="X162" s="318" t="s">
        <v>388</v>
      </c>
      <c r="Y162" s="62" t="s">
        <v>136</v>
      </c>
      <c r="AD162" s="1">
        <f t="shared" ref="AD162:AD163" si="57">+$P162*AD$152</f>
        <v>4209.7860000000001</v>
      </c>
      <c r="AE162" s="1">
        <f t="shared" si="55"/>
        <v>4209.7860000000001</v>
      </c>
      <c r="AF162" s="1">
        <f t="shared" si="55"/>
        <v>4222.4279999999999</v>
      </c>
      <c r="AH162" s="1">
        <f t="shared" ref="AH162:AH163" si="58">+$U162*AH$152</f>
        <v>1450.84104</v>
      </c>
      <c r="AI162" s="1">
        <f t="shared" si="56"/>
        <v>1450.84104</v>
      </c>
      <c r="AJ162" s="1">
        <f t="shared" si="56"/>
        <v>1455.1979200000001</v>
      </c>
    </row>
    <row r="163" spans="1:37" ht="14.4" customHeight="1">
      <c r="A163" s="43">
        <v>124</v>
      </c>
      <c r="C163" s="258" t="s">
        <v>57</v>
      </c>
      <c r="D163" s="268"/>
      <c r="E163" s="269"/>
      <c r="F163" s="478"/>
      <c r="G163" s="478"/>
      <c r="H163" s="478"/>
      <c r="I163" s="270"/>
      <c r="J163" s="270"/>
      <c r="K163" s="270"/>
      <c r="L163" s="270"/>
      <c r="M163" s="270"/>
      <c r="N163" s="270"/>
      <c r="O163" s="258"/>
      <c r="P163" s="276">
        <f>ROUND(875.25*4,0)</f>
        <v>3501</v>
      </c>
      <c r="Q163" s="255">
        <v>3384</v>
      </c>
      <c r="R163" s="256">
        <f t="shared" si="48"/>
        <v>117</v>
      </c>
      <c r="S163" s="257">
        <f t="shared" si="49"/>
        <v>3.4574468085106384E-2</v>
      </c>
      <c r="T163" s="258"/>
      <c r="U163" s="276">
        <v>1037.25</v>
      </c>
      <c r="V163" s="276">
        <v>875.25</v>
      </c>
      <c r="W163" s="257">
        <f t="shared" si="50"/>
        <v>0.18508997429305912</v>
      </c>
      <c r="X163" s="254" t="s">
        <v>470</v>
      </c>
      <c r="Y163" s="62" t="s">
        <v>137</v>
      </c>
      <c r="AD163" s="1">
        <f t="shared" si="57"/>
        <v>1165.8330000000001</v>
      </c>
      <c r="AE163" s="1">
        <f t="shared" si="55"/>
        <v>1165.8330000000001</v>
      </c>
      <c r="AF163" s="1">
        <f t="shared" si="55"/>
        <v>1169.3340000000001</v>
      </c>
      <c r="AH163" s="1">
        <f t="shared" si="58"/>
        <v>345.40425000000005</v>
      </c>
      <c r="AI163" s="1">
        <f t="shared" si="56"/>
        <v>345.40425000000005</v>
      </c>
      <c r="AJ163" s="1">
        <f t="shared" si="56"/>
        <v>346.44150000000002</v>
      </c>
    </row>
    <row r="164" spans="1:37">
      <c r="A164" s="43">
        <v>125</v>
      </c>
      <c r="C164" s="258" t="s">
        <v>58</v>
      </c>
      <c r="D164" s="268"/>
      <c r="P164" s="54">
        <v>1500</v>
      </c>
      <c r="Q164" s="52">
        <v>2000</v>
      </c>
      <c r="R164" s="38">
        <f t="shared" si="48"/>
        <v>-500</v>
      </c>
      <c r="S164" s="4">
        <f t="shared" si="49"/>
        <v>-0.25</v>
      </c>
      <c r="U164" s="54">
        <v>0</v>
      </c>
      <c r="V164" s="54">
        <v>625</v>
      </c>
      <c r="W164" s="4">
        <f t="shared" si="50"/>
        <v>-1</v>
      </c>
      <c r="X164" s="254" t="s">
        <v>426</v>
      </c>
      <c r="Y164" s="58"/>
      <c r="AD164" s="1">
        <f t="shared" ref="AD164" si="59">+$P164</f>
        <v>1500</v>
      </c>
      <c r="AH164" s="1">
        <f t="shared" ref="AH164" si="60">+$U164</f>
        <v>0</v>
      </c>
    </row>
    <row r="165" spans="1:37" s="2" customFormat="1">
      <c r="A165" s="43">
        <v>127</v>
      </c>
      <c r="B165" s="24" t="s">
        <v>53</v>
      </c>
      <c r="C165" s="24"/>
      <c r="D165" s="24"/>
      <c r="E165" s="89"/>
      <c r="F165" s="89"/>
      <c r="G165" s="89"/>
      <c r="H165" s="89"/>
      <c r="I165" s="89"/>
      <c r="J165" s="89"/>
      <c r="K165" s="89"/>
      <c r="L165" s="89"/>
      <c r="M165" s="89"/>
      <c r="N165" s="89"/>
      <c r="O165" s="24"/>
      <c r="P165" s="24">
        <f>SUM(P153:P164)</f>
        <v>102241</v>
      </c>
      <c r="Q165" s="24">
        <f>SUM(Q153:Q164)</f>
        <v>102721</v>
      </c>
      <c r="R165" s="24">
        <f>SUM(R153:R164)</f>
        <v>-480</v>
      </c>
      <c r="S165" s="25">
        <f t="shared" si="49"/>
        <v>-4.672851705104117E-3</v>
      </c>
      <c r="U165" s="24">
        <f>SUM(U153:U164)</f>
        <v>36697.17</v>
      </c>
      <c r="V165" s="24">
        <f>SUM(V153:V164)</f>
        <v>42145.3</v>
      </c>
      <c r="W165" s="25">
        <f t="shared" si="50"/>
        <v>-0.12927016772926053</v>
      </c>
      <c r="X165" s="75"/>
      <c r="Y165" s="61"/>
    </row>
    <row r="166" spans="1:37">
      <c r="A166" s="43">
        <v>128</v>
      </c>
      <c r="B166" s="24" t="s">
        <v>59</v>
      </c>
      <c r="C166" s="24"/>
      <c r="D166" s="24"/>
      <c r="E166" s="89"/>
      <c r="F166" s="25"/>
      <c r="G166" s="25"/>
      <c r="H166" s="25"/>
      <c r="I166" s="25"/>
      <c r="J166" s="25"/>
      <c r="K166" s="25"/>
      <c r="L166" s="25"/>
      <c r="M166" s="25"/>
      <c r="N166" s="25"/>
      <c r="O166" s="34"/>
      <c r="P166" s="24">
        <f>+P107+P122+P131+P137+P150+P165</f>
        <v>331619</v>
      </c>
      <c r="Q166" s="24">
        <f>+Q107+Q122+Q131+Q137+Q150+Q165</f>
        <v>326148.38049999997</v>
      </c>
      <c r="R166" s="24">
        <f>+R107+R122+R131+R137+R150+R165</f>
        <v>5470.6195000000007</v>
      </c>
      <c r="S166" s="25">
        <f t="shared" si="49"/>
        <v>1.6773406912563314E-2</v>
      </c>
      <c r="U166" s="24">
        <f>+U107+U122+U131+U137+U150+U165</f>
        <v>122307.19</v>
      </c>
      <c r="V166" s="24">
        <f>+V107+V122+V131+V137+V150+V165</f>
        <v>135369.79999999999</v>
      </c>
      <c r="W166" s="25">
        <f t="shared" si="50"/>
        <v>-9.6495747205063362E-2</v>
      </c>
      <c r="X166" s="74"/>
      <c r="Y166" s="59"/>
      <c r="AD166" s="1" t="s">
        <v>468</v>
      </c>
    </row>
    <row r="167" spans="1:37" ht="8.25" customHeight="1">
      <c r="A167" s="43">
        <v>129</v>
      </c>
      <c r="S167" s="5"/>
      <c r="X167" s="74"/>
      <c r="Y167" s="59"/>
    </row>
    <row r="168" spans="1:37" ht="18.5">
      <c r="A168" s="43">
        <v>130</v>
      </c>
      <c r="B168" s="7" t="s">
        <v>60</v>
      </c>
      <c r="S168" s="5"/>
      <c r="X168" s="74"/>
      <c r="Y168" s="59"/>
    </row>
    <row r="169" spans="1:37">
      <c r="A169" s="43">
        <v>131</v>
      </c>
      <c r="B169" s="2" t="s">
        <v>61</v>
      </c>
      <c r="S169" s="5"/>
      <c r="X169" s="74"/>
      <c r="Y169" s="59"/>
    </row>
    <row r="170" spans="1:37" ht="14.5" customHeight="1">
      <c r="A170" s="43">
        <v>132</v>
      </c>
      <c r="C170" s="258" t="s">
        <v>63</v>
      </c>
      <c r="D170" s="268"/>
      <c r="P170" s="276">
        <v>12000</v>
      </c>
      <c r="Q170" s="276">
        <v>10500</v>
      </c>
      <c r="R170" s="256">
        <f t="shared" ref="R170:R177" si="61">+P170-Q170</f>
        <v>1500</v>
      </c>
      <c r="S170" s="257">
        <f t="shared" ref="S170:S178" si="62">IF(Q170=0,"NA",(+P170-Q170)/Q170)</f>
        <v>0.14285714285714285</v>
      </c>
      <c r="T170" s="258"/>
      <c r="U170" s="255">
        <v>4710</v>
      </c>
      <c r="V170" s="255">
        <v>5000</v>
      </c>
      <c r="W170" s="257">
        <f t="shared" ref="W170:W178" si="63">IF(V170=0,"NA",(+U170-V170)/V170)</f>
        <v>-5.8000000000000003E-2</v>
      </c>
      <c r="X170" s="259" t="s">
        <v>432</v>
      </c>
      <c r="Y170" s="58" t="s">
        <v>138</v>
      </c>
      <c r="AG170" s="1">
        <f t="shared" ref="AG170:AG177" si="64">+$P170</f>
        <v>12000</v>
      </c>
      <c r="AK170" s="1">
        <f t="shared" ref="AK170:AK177" si="65">+$U170</f>
        <v>4710</v>
      </c>
    </row>
    <row r="171" spans="1:37" ht="14.5" customHeight="1">
      <c r="A171" s="43">
        <v>133</v>
      </c>
      <c r="C171" s="258" t="s">
        <v>64</v>
      </c>
      <c r="D171" s="268"/>
      <c r="P171" s="276">
        <v>10000</v>
      </c>
      <c r="Q171" s="276">
        <v>8160</v>
      </c>
      <c r="R171" s="256">
        <f t="shared" si="61"/>
        <v>1840</v>
      </c>
      <c r="S171" s="257">
        <f t="shared" si="62"/>
        <v>0.22549019607843138</v>
      </c>
      <c r="T171" s="258"/>
      <c r="U171" s="255">
        <v>3500</v>
      </c>
      <c r="V171" s="255">
        <v>4166.6499999999996</v>
      </c>
      <c r="W171" s="257">
        <f t="shared" si="63"/>
        <v>-0.15999663998655989</v>
      </c>
      <c r="X171" s="601" t="s">
        <v>433</v>
      </c>
      <c r="Y171" s="66" t="s">
        <v>141</v>
      </c>
      <c r="AG171" s="1">
        <f t="shared" si="64"/>
        <v>10000</v>
      </c>
      <c r="AK171" s="1">
        <f t="shared" si="65"/>
        <v>3500</v>
      </c>
    </row>
    <row r="172" spans="1:37">
      <c r="A172" s="43">
        <v>134</v>
      </c>
      <c r="C172" s="263" t="s">
        <v>361</v>
      </c>
      <c r="D172" s="271"/>
      <c r="E172" s="432"/>
      <c r="F172" s="433"/>
      <c r="G172" s="433"/>
      <c r="H172" s="433"/>
      <c r="I172" s="433"/>
      <c r="J172" s="433"/>
      <c r="K172" s="433"/>
      <c r="L172" s="433"/>
      <c r="M172" s="433"/>
      <c r="N172" s="433"/>
      <c r="O172" s="447"/>
      <c r="P172" s="260">
        <v>4400</v>
      </c>
      <c r="Q172" s="260">
        <v>4500</v>
      </c>
      <c r="R172" s="261">
        <f t="shared" si="61"/>
        <v>-100</v>
      </c>
      <c r="S172" s="262">
        <f t="shared" si="62"/>
        <v>-2.2222222222222223E-2</v>
      </c>
      <c r="T172" s="263"/>
      <c r="U172" s="260">
        <v>1955.92</v>
      </c>
      <c r="V172" s="260">
        <v>1833.35</v>
      </c>
      <c r="W172" s="262">
        <f t="shared" si="63"/>
        <v>6.6855755856765037E-2</v>
      </c>
      <c r="X172" s="437" t="s">
        <v>371</v>
      </c>
      <c r="Y172" s="65"/>
      <c r="AG172" s="1">
        <f t="shared" si="64"/>
        <v>4400</v>
      </c>
      <c r="AK172" s="1">
        <f t="shared" si="65"/>
        <v>1955.92</v>
      </c>
    </row>
    <row r="173" spans="1:37" ht="49.5" customHeight="1">
      <c r="C173" s="253"/>
      <c r="D173" s="265"/>
      <c r="O173" s="3"/>
      <c r="P173" s="250"/>
      <c r="Q173" s="250"/>
      <c r="R173" s="251"/>
      <c r="S173" s="252"/>
      <c r="T173" s="253"/>
      <c r="U173" s="250"/>
      <c r="V173" s="250"/>
      <c r="W173" s="252"/>
      <c r="X173" s="254" t="s">
        <v>396</v>
      </c>
      <c r="Y173" s="65"/>
    </row>
    <row r="174" spans="1:37" ht="14.5" customHeight="1">
      <c r="A174" s="43">
        <v>135</v>
      </c>
      <c r="C174" s="258" t="s">
        <v>66</v>
      </c>
      <c r="D174" s="268"/>
      <c r="P174" s="255">
        <v>1000</v>
      </c>
      <c r="Q174" s="255">
        <v>816</v>
      </c>
      <c r="R174" s="256">
        <f t="shared" si="61"/>
        <v>184</v>
      </c>
      <c r="S174" s="257">
        <f t="shared" si="62"/>
        <v>0.22549019607843138</v>
      </c>
      <c r="T174" s="258"/>
      <c r="U174" s="255">
        <v>464</v>
      </c>
      <c r="V174" s="255">
        <v>500</v>
      </c>
      <c r="W174" s="257">
        <f t="shared" si="63"/>
        <v>-7.1999999999999995E-2</v>
      </c>
      <c r="X174" s="259" t="s">
        <v>370</v>
      </c>
      <c r="Y174" s="58"/>
      <c r="AG174" s="1">
        <f t="shared" si="64"/>
        <v>1000</v>
      </c>
      <c r="AK174" s="1">
        <f t="shared" si="65"/>
        <v>464</v>
      </c>
    </row>
    <row r="175" spans="1:37" ht="14.5" customHeight="1">
      <c r="A175" s="43">
        <v>136</v>
      </c>
      <c r="C175" s="258" t="s">
        <v>67</v>
      </c>
      <c r="D175" s="268"/>
      <c r="P175" s="255">
        <v>350</v>
      </c>
      <c r="Q175" s="276">
        <v>300</v>
      </c>
      <c r="R175" s="256">
        <f t="shared" si="61"/>
        <v>50</v>
      </c>
      <c r="S175" s="257">
        <f t="shared" si="62"/>
        <v>0.16666666666666666</v>
      </c>
      <c r="T175" s="258"/>
      <c r="U175" s="255">
        <v>0</v>
      </c>
      <c r="V175" s="255">
        <v>145.85</v>
      </c>
      <c r="W175" s="257">
        <f t="shared" si="63"/>
        <v>-1</v>
      </c>
      <c r="X175" s="259" t="s">
        <v>370</v>
      </c>
      <c r="Y175" s="66" t="s">
        <v>142</v>
      </c>
      <c r="AG175" s="1">
        <f t="shared" si="64"/>
        <v>350</v>
      </c>
      <c r="AK175" s="1">
        <f t="shared" si="65"/>
        <v>0</v>
      </c>
    </row>
    <row r="176" spans="1:37" ht="29.5" customHeight="1">
      <c r="A176" s="43">
        <v>137</v>
      </c>
      <c r="C176" s="258" t="s">
        <v>68</v>
      </c>
      <c r="D176" s="268"/>
      <c r="H176" s="90"/>
      <c r="I176" s="90"/>
      <c r="J176" s="90"/>
      <c r="K176" s="90"/>
      <c r="L176" s="90"/>
      <c r="M176" s="90"/>
      <c r="N176" s="90"/>
      <c r="P176" s="255">
        <f>50*12/12*5</f>
        <v>250</v>
      </c>
      <c r="Q176" s="276">
        <f>50*12</f>
        <v>600</v>
      </c>
      <c r="R176" s="256">
        <f t="shared" si="61"/>
        <v>-350</v>
      </c>
      <c r="S176" s="257">
        <f t="shared" si="62"/>
        <v>-0.58333333333333337</v>
      </c>
      <c r="T176" s="258"/>
      <c r="U176" s="255">
        <v>335.18</v>
      </c>
      <c r="V176" s="255">
        <v>208.35</v>
      </c>
      <c r="W176" s="257">
        <f t="shared" si="63"/>
        <v>0.60873530117590602</v>
      </c>
      <c r="X176" s="254" t="s">
        <v>385</v>
      </c>
      <c r="Y176" s="62" t="s">
        <v>397</v>
      </c>
      <c r="AG176" s="1">
        <f t="shared" si="64"/>
        <v>250</v>
      </c>
      <c r="AK176" s="1">
        <f t="shared" si="65"/>
        <v>335.18</v>
      </c>
    </row>
    <row r="177" spans="1:37" ht="29.5" customHeight="1">
      <c r="A177" s="43">
        <v>138</v>
      </c>
      <c r="C177" s="258" t="s">
        <v>104</v>
      </c>
      <c r="D177" s="268"/>
      <c r="P177" s="255">
        <f>1600*3</f>
        <v>4800</v>
      </c>
      <c r="Q177" s="260">
        <v>4500</v>
      </c>
      <c r="R177" s="261">
        <f t="shared" si="61"/>
        <v>300</v>
      </c>
      <c r="S177" s="262">
        <f t="shared" si="62"/>
        <v>6.6666666666666666E-2</v>
      </c>
      <c r="T177" s="263"/>
      <c r="U177" s="260">
        <v>2835.14</v>
      </c>
      <c r="V177" s="260">
        <v>2400</v>
      </c>
      <c r="W177" s="262">
        <f t="shared" si="63"/>
        <v>0.18130833333333329</v>
      </c>
      <c r="X177" s="259" t="s">
        <v>434</v>
      </c>
      <c r="Y177" s="58"/>
      <c r="AG177" s="1">
        <f t="shared" si="64"/>
        <v>4800</v>
      </c>
      <c r="AK177" s="1">
        <f t="shared" si="65"/>
        <v>2835.14</v>
      </c>
    </row>
    <row r="178" spans="1:37" s="2" customFormat="1">
      <c r="A178" s="43">
        <v>139</v>
      </c>
      <c r="B178" s="27" t="s">
        <v>69</v>
      </c>
      <c r="C178" s="27"/>
      <c r="D178" s="27"/>
      <c r="E178" s="91"/>
      <c r="F178" s="91"/>
      <c r="G178" s="91"/>
      <c r="H178" s="91"/>
      <c r="I178" s="91"/>
      <c r="J178" s="91"/>
      <c r="K178" s="91"/>
      <c r="L178" s="91"/>
      <c r="M178" s="91"/>
      <c r="N178" s="91"/>
      <c r="O178" s="27"/>
      <c r="P178" s="27">
        <f>SUM(P170:P177)</f>
        <v>32800</v>
      </c>
      <c r="Q178" s="27">
        <f>SUM(Q170:Q177)</f>
        <v>29376</v>
      </c>
      <c r="R178" s="27">
        <f>SUM(R170:R177)</f>
        <v>3424</v>
      </c>
      <c r="S178" s="28">
        <f t="shared" si="62"/>
        <v>0.11655773420479303</v>
      </c>
      <c r="U178" s="27">
        <f>SUM(U170:U177)</f>
        <v>13800.24</v>
      </c>
      <c r="V178" s="27">
        <f>SUM(V170:V177)</f>
        <v>14254.2</v>
      </c>
      <c r="W178" s="28">
        <f t="shared" si="63"/>
        <v>-3.1847455486803955E-2</v>
      </c>
      <c r="X178" s="75"/>
      <c r="Y178" s="61"/>
      <c r="AK178" s="1"/>
    </row>
    <row r="179" spans="1:37" s="2" customFormat="1" ht="6.75" customHeight="1">
      <c r="A179" s="43">
        <v>140</v>
      </c>
      <c r="B179" s="15"/>
      <c r="C179" s="15"/>
      <c r="D179" s="15"/>
      <c r="E179" s="81"/>
      <c r="F179" s="81"/>
      <c r="G179" s="81"/>
      <c r="H179" s="81"/>
      <c r="I179" s="81"/>
      <c r="J179" s="81"/>
      <c r="K179" s="81"/>
      <c r="L179" s="81"/>
      <c r="M179" s="81"/>
      <c r="N179" s="81"/>
      <c r="O179" s="15"/>
      <c r="P179" s="15"/>
      <c r="Q179" s="15"/>
      <c r="R179" s="15"/>
      <c r="S179" s="18"/>
      <c r="U179" s="15"/>
      <c r="V179" s="15"/>
      <c r="W179" s="18"/>
      <c r="X179" s="75"/>
      <c r="Y179" s="61"/>
    </row>
    <row r="180" spans="1:37">
      <c r="A180" s="43">
        <v>141</v>
      </c>
      <c r="B180" s="2" t="s">
        <v>70</v>
      </c>
      <c r="S180" s="5"/>
      <c r="X180" s="74"/>
      <c r="Y180" s="59"/>
    </row>
    <row r="181" spans="1:37" ht="29">
      <c r="A181" s="43">
        <v>142</v>
      </c>
      <c r="C181" s="253" t="s">
        <v>71</v>
      </c>
      <c r="D181" s="265"/>
      <c r="E181" s="266"/>
      <c r="F181" s="267"/>
      <c r="G181" s="267"/>
      <c r="H181" s="267"/>
      <c r="I181" s="267"/>
      <c r="J181" s="267"/>
      <c r="K181" s="267"/>
      <c r="L181" s="267"/>
      <c r="M181" s="267"/>
      <c r="N181" s="267"/>
      <c r="O181" s="253"/>
      <c r="P181" s="278">
        <v>15500</v>
      </c>
      <c r="Q181" s="278">
        <v>16900</v>
      </c>
      <c r="R181" s="251">
        <f t="shared" ref="R181:R187" si="66">+P181-Q181</f>
        <v>-1400</v>
      </c>
      <c r="S181" s="252">
        <f t="shared" ref="S181:S189" si="67">IF(Q181=0,"NA",(+P181-Q181)/Q181)</f>
        <v>-8.2840236686390539E-2</v>
      </c>
      <c r="T181" s="253"/>
      <c r="U181" s="250">
        <v>2893</v>
      </c>
      <c r="V181" s="250">
        <v>3875</v>
      </c>
      <c r="W181" s="252">
        <f t="shared" ref="W181:W189" si="68">IF(V181=0,"NA",(+U181-V181)/V181)</f>
        <v>-0.2534193548387097</v>
      </c>
      <c r="X181" s="254" t="s">
        <v>372</v>
      </c>
      <c r="Y181" s="58" t="s">
        <v>143</v>
      </c>
      <c r="AG181" s="1">
        <f t="shared" ref="AG181:AG186" si="69">+$P181</f>
        <v>15500</v>
      </c>
      <c r="AK181" s="1">
        <f t="shared" ref="AK181:AK186" si="70">+$U181</f>
        <v>2893</v>
      </c>
    </row>
    <row r="182" spans="1:37">
      <c r="A182" s="43">
        <v>143</v>
      </c>
      <c r="C182" s="258" t="s">
        <v>72</v>
      </c>
      <c r="D182" s="268"/>
      <c r="E182" s="269"/>
      <c r="F182" s="270"/>
      <c r="G182" s="270"/>
      <c r="H182" s="270"/>
      <c r="I182" s="270"/>
      <c r="J182" s="270"/>
      <c r="K182" s="270"/>
      <c r="L182" s="270"/>
      <c r="M182" s="270"/>
      <c r="N182" s="270"/>
      <c r="O182" s="258"/>
      <c r="P182" s="255">
        <v>5000</v>
      </c>
      <c r="Q182" s="255">
        <v>4500</v>
      </c>
      <c r="R182" s="256">
        <f t="shared" si="66"/>
        <v>500</v>
      </c>
      <c r="S182" s="257">
        <f t="shared" si="67"/>
        <v>0.1111111111111111</v>
      </c>
      <c r="T182" s="258"/>
      <c r="U182" s="255">
        <v>3506.8</v>
      </c>
      <c r="V182" s="255">
        <v>3333.32</v>
      </c>
      <c r="W182" s="257">
        <f t="shared" si="68"/>
        <v>5.204420817683271E-2</v>
      </c>
      <c r="X182" s="259" t="s">
        <v>444</v>
      </c>
      <c r="Y182" s="58"/>
      <c r="AG182" s="1">
        <f t="shared" si="69"/>
        <v>5000</v>
      </c>
      <c r="AK182" s="1">
        <f t="shared" si="70"/>
        <v>3506.8</v>
      </c>
    </row>
    <row r="183" spans="1:37">
      <c r="A183" s="43">
        <v>144</v>
      </c>
      <c r="C183" s="258" t="s">
        <v>97</v>
      </c>
      <c r="D183" s="268"/>
      <c r="E183" s="269"/>
      <c r="F183" s="270"/>
      <c r="G183" s="270"/>
      <c r="H183" s="270"/>
      <c r="I183" s="270"/>
      <c r="J183" s="270"/>
      <c r="K183" s="270"/>
      <c r="L183" s="270"/>
      <c r="M183" s="270"/>
      <c r="N183" s="270"/>
      <c r="O183" s="258"/>
      <c r="P183" s="255">
        <v>4500</v>
      </c>
      <c r="Q183" s="255">
        <v>4000</v>
      </c>
      <c r="R183" s="256">
        <f t="shared" si="66"/>
        <v>500</v>
      </c>
      <c r="S183" s="257">
        <f t="shared" si="67"/>
        <v>0.125</v>
      </c>
      <c r="T183" s="258"/>
      <c r="U183" s="255">
        <v>5513.7</v>
      </c>
      <c r="V183" s="255">
        <v>1875</v>
      </c>
      <c r="W183" s="257">
        <f t="shared" si="68"/>
        <v>1.9406399999999999</v>
      </c>
      <c r="X183" s="259" t="s">
        <v>445</v>
      </c>
      <c r="Y183" s="58"/>
      <c r="AG183" s="1">
        <f t="shared" si="69"/>
        <v>4500</v>
      </c>
      <c r="AK183" s="1">
        <f t="shared" si="70"/>
        <v>5513.7</v>
      </c>
    </row>
    <row r="184" spans="1:37" ht="29">
      <c r="A184" s="43">
        <v>145</v>
      </c>
      <c r="C184" s="719" t="s">
        <v>100</v>
      </c>
      <c r="D184" s="719"/>
      <c r="E184" s="440"/>
      <c r="F184" s="440"/>
      <c r="G184" s="440"/>
      <c r="H184" s="440"/>
      <c r="I184" s="440"/>
      <c r="J184" s="440"/>
      <c r="K184" s="440"/>
      <c r="L184" s="440"/>
      <c r="M184" s="440"/>
      <c r="N184" s="440"/>
      <c r="O184" s="439"/>
      <c r="P184" s="277">
        <v>6000</v>
      </c>
      <c r="Q184" s="260">
        <v>8000</v>
      </c>
      <c r="R184" s="261">
        <f t="shared" si="66"/>
        <v>-2000</v>
      </c>
      <c r="S184" s="262">
        <f t="shared" si="67"/>
        <v>-0.25</v>
      </c>
      <c r="T184" s="263"/>
      <c r="U184" s="260">
        <v>2614.41</v>
      </c>
      <c r="V184" s="260">
        <v>2500</v>
      </c>
      <c r="W184" s="262">
        <f t="shared" si="68"/>
        <v>4.5763999999999944E-2</v>
      </c>
      <c r="X184" s="264" t="s">
        <v>373</v>
      </c>
      <c r="Y184" s="58"/>
      <c r="AG184" s="1">
        <f t="shared" si="69"/>
        <v>6000</v>
      </c>
      <c r="AK184" s="1">
        <f t="shared" si="70"/>
        <v>2614.41</v>
      </c>
    </row>
    <row r="185" spans="1:37" ht="43.5">
      <c r="C185" s="441"/>
      <c r="D185" s="441"/>
      <c r="E185" s="442"/>
      <c r="F185" s="442"/>
      <c r="G185" s="442"/>
      <c r="H185" s="442"/>
      <c r="I185" s="442"/>
      <c r="J185" s="442"/>
      <c r="K185" s="442"/>
      <c r="L185" s="442"/>
      <c r="M185" s="442"/>
      <c r="N185" s="442"/>
      <c r="O185" s="441"/>
      <c r="P185" s="438"/>
      <c r="Q185" s="434"/>
      <c r="R185" s="435"/>
      <c r="S185" s="436"/>
      <c r="T185" s="430"/>
      <c r="U185" s="434"/>
      <c r="V185" s="434"/>
      <c r="W185" s="436"/>
      <c r="X185" s="254" t="s">
        <v>200</v>
      </c>
      <c r="Y185" s="58"/>
    </row>
    <row r="186" spans="1:37" ht="42.75" customHeight="1">
      <c r="A186" s="43">
        <v>146</v>
      </c>
      <c r="C186" s="263" t="s">
        <v>73</v>
      </c>
      <c r="D186" s="271"/>
      <c r="E186" s="272"/>
      <c r="F186" s="273"/>
      <c r="G186" s="273"/>
      <c r="H186" s="273"/>
      <c r="I186" s="273"/>
      <c r="J186" s="273"/>
      <c r="K186" s="273"/>
      <c r="L186" s="273"/>
      <c r="M186" s="273"/>
      <c r="N186" s="273"/>
      <c r="O186" s="263"/>
      <c r="P186" s="260">
        <v>10000</v>
      </c>
      <c r="Q186" s="260">
        <v>8000</v>
      </c>
      <c r="R186" s="261">
        <f t="shared" si="66"/>
        <v>2000</v>
      </c>
      <c r="S186" s="262">
        <f t="shared" si="67"/>
        <v>0.25</v>
      </c>
      <c r="T186" s="263"/>
      <c r="U186" s="277">
        <v>3143.5</v>
      </c>
      <c r="V186" s="260">
        <v>4166.6499999999996</v>
      </c>
      <c r="W186" s="262">
        <f t="shared" si="68"/>
        <v>-0.24555698222792885</v>
      </c>
      <c r="X186" s="264" t="s">
        <v>340</v>
      </c>
      <c r="Y186" s="58"/>
      <c r="AG186" s="1">
        <f t="shared" si="69"/>
        <v>10000</v>
      </c>
      <c r="AK186" s="1">
        <f t="shared" si="70"/>
        <v>3143.5</v>
      </c>
    </row>
    <row r="187" spans="1:37" hidden="1">
      <c r="A187" s="43">
        <v>149</v>
      </c>
      <c r="C187" s="1" t="s">
        <v>74</v>
      </c>
      <c r="P187" s="52">
        <v>0</v>
      </c>
      <c r="Q187" s="52">
        <v>0</v>
      </c>
      <c r="R187" s="38">
        <f t="shared" si="66"/>
        <v>0</v>
      </c>
      <c r="S187" s="4" t="str">
        <f t="shared" si="67"/>
        <v>NA</v>
      </c>
      <c r="U187" s="52">
        <v>0</v>
      </c>
      <c r="V187" s="52">
        <v>0</v>
      </c>
      <c r="W187" s="4" t="str">
        <f t="shared" si="68"/>
        <v>NA</v>
      </c>
      <c r="X187" s="75"/>
      <c r="Y187" s="62"/>
    </row>
    <row r="188" spans="1:37" s="2" customFormat="1">
      <c r="A188" s="43">
        <v>150</v>
      </c>
      <c r="B188" s="27" t="s">
        <v>75</v>
      </c>
      <c r="C188" s="27"/>
      <c r="D188" s="27"/>
      <c r="E188" s="91"/>
      <c r="F188" s="91"/>
      <c r="G188" s="91"/>
      <c r="H188" s="91"/>
      <c r="I188" s="91"/>
      <c r="J188" s="91"/>
      <c r="K188" s="91"/>
      <c r="L188" s="91"/>
      <c r="M188" s="91"/>
      <c r="N188" s="91"/>
      <c r="O188" s="27"/>
      <c r="P188" s="27">
        <f>SUM(P181:P187)</f>
        <v>41000</v>
      </c>
      <c r="Q188" s="27">
        <f>SUM(Q181:Q187)</f>
        <v>41400</v>
      </c>
      <c r="R188" s="27">
        <f>SUM(R181:R187)</f>
        <v>-400</v>
      </c>
      <c r="S188" s="28">
        <f t="shared" si="67"/>
        <v>-9.6618357487922701E-3</v>
      </c>
      <c r="U188" s="27">
        <f>SUM(U181:U187)</f>
        <v>17671.41</v>
      </c>
      <c r="V188" s="27">
        <f>SUM(V181:V187)</f>
        <v>15749.97</v>
      </c>
      <c r="W188" s="28">
        <f t="shared" si="68"/>
        <v>0.12199642285032927</v>
      </c>
      <c r="X188" s="75" t="s">
        <v>423</v>
      </c>
      <c r="Y188" s="61"/>
    </row>
    <row r="189" spans="1:37">
      <c r="A189" s="43">
        <v>151</v>
      </c>
      <c r="B189" s="27" t="s">
        <v>76</v>
      </c>
      <c r="C189" s="27"/>
      <c r="D189" s="27"/>
      <c r="E189" s="91"/>
      <c r="F189" s="91"/>
      <c r="G189" s="91"/>
      <c r="H189" s="91"/>
      <c r="I189" s="91"/>
      <c r="J189" s="91"/>
      <c r="K189" s="91"/>
      <c r="L189" s="91"/>
      <c r="M189" s="91"/>
      <c r="N189" s="91"/>
      <c r="O189" s="27"/>
      <c r="P189" s="27">
        <f>+P178+P188</f>
        <v>73800</v>
      </c>
      <c r="Q189" s="27">
        <f>+Q178+Q188</f>
        <v>70776</v>
      </c>
      <c r="R189" s="27">
        <f>+R178+R188</f>
        <v>3024</v>
      </c>
      <c r="S189" s="28">
        <f t="shared" si="67"/>
        <v>4.2726347914547304E-2</v>
      </c>
      <c r="U189" s="27">
        <f>+U178+U188</f>
        <v>31471.65</v>
      </c>
      <c r="V189" s="27">
        <f>+V178+V188</f>
        <v>30004.17</v>
      </c>
      <c r="W189" s="28">
        <f t="shared" si="68"/>
        <v>4.8909201620974792E-2</v>
      </c>
      <c r="X189" s="74"/>
      <c r="Y189" s="59"/>
    </row>
    <row r="190" spans="1:37" ht="4.5" customHeight="1">
      <c r="A190" s="43">
        <v>152</v>
      </c>
      <c r="S190" s="5"/>
      <c r="X190" s="74"/>
      <c r="Y190" s="59"/>
    </row>
    <row r="191" spans="1:37" ht="18.5">
      <c r="A191" s="43">
        <v>153</v>
      </c>
      <c r="B191" s="7" t="s">
        <v>77</v>
      </c>
      <c r="S191" s="5"/>
      <c r="X191" s="74"/>
      <c r="Y191" s="59"/>
    </row>
    <row r="192" spans="1:37">
      <c r="A192" s="43">
        <v>154</v>
      </c>
      <c r="B192" s="2" t="s">
        <v>78</v>
      </c>
      <c r="S192" s="5"/>
      <c r="X192" s="74"/>
      <c r="Y192" s="59"/>
    </row>
    <row r="193" spans="1:37" ht="29">
      <c r="C193" s="253" t="s">
        <v>79</v>
      </c>
      <c r="D193" s="265"/>
      <c r="E193" s="266"/>
      <c r="F193" s="267"/>
      <c r="G193" s="267"/>
      <c r="H193" s="267"/>
      <c r="I193" s="267"/>
      <c r="J193" s="267"/>
      <c r="K193" s="267"/>
      <c r="L193" s="267"/>
      <c r="M193" s="267"/>
      <c r="N193" s="267"/>
      <c r="O193" s="253"/>
      <c r="P193" s="278">
        <v>0</v>
      </c>
      <c r="Q193" s="278">
        <v>0</v>
      </c>
      <c r="R193" s="251">
        <f t="shared" ref="R193:R198" si="71">+P193-Q193</f>
        <v>0</v>
      </c>
      <c r="S193" s="252" t="str">
        <f t="shared" ref="S193:S199" si="72">IF(Q193=0,"NA",(+P193-Q193)/Q193)</f>
        <v>NA</v>
      </c>
      <c r="T193" s="253"/>
      <c r="U193" s="250">
        <v>0</v>
      </c>
      <c r="V193" s="250">
        <v>0</v>
      </c>
      <c r="W193" s="252" t="str">
        <f t="shared" ref="W193:W199" si="73">IF(V193=0,"NA",(+U193-V193)/V193)</f>
        <v>NA</v>
      </c>
      <c r="X193" s="254" t="s">
        <v>398</v>
      </c>
      <c r="Y193" s="58"/>
    </row>
    <row r="194" spans="1:37" hidden="1">
      <c r="C194" s="258" t="s">
        <v>193</v>
      </c>
      <c r="D194" s="268"/>
      <c r="E194" s="269"/>
      <c r="F194" s="270"/>
      <c r="G194" s="270"/>
      <c r="H194" s="270"/>
      <c r="I194" s="270"/>
      <c r="J194" s="270"/>
      <c r="K194" s="270"/>
      <c r="L194" s="270"/>
      <c r="M194" s="270"/>
      <c r="N194" s="270"/>
      <c r="O194" s="258"/>
      <c r="P194" s="276">
        <v>0</v>
      </c>
      <c r="Q194" s="276">
        <v>0</v>
      </c>
      <c r="R194" s="256">
        <f t="shared" si="71"/>
        <v>0</v>
      </c>
      <c r="S194" s="257" t="str">
        <f t="shared" si="72"/>
        <v>NA</v>
      </c>
      <c r="T194" s="258"/>
      <c r="U194" s="255">
        <v>0</v>
      </c>
      <c r="V194" s="255">
        <v>0</v>
      </c>
      <c r="W194" s="257" t="str">
        <f t="shared" si="73"/>
        <v>NA</v>
      </c>
      <c r="X194" s="259"/>
      <c r="Y194" s="58"/>
    </row>
    <row r="195" spans="1:37" ht="43.5">
      <c r="A195" s="43">
        <v>156</v>
      </c>
      <c r="C195" s="258" t="s">
        <v>152</v>
      </c>
      <c r="D195" s="268"/>
      <c r="E195" s="269"/>
      <c r="F195" s="270"/>
      <c r="G195" s="270"/>
      <c r="H195" s="270"/>
      <c r="I195" s="270"/>
      <c r="J195" s="270"/>
      <c r="K195" s="270"/>
      <c r="L195" s="270"/>
      <c r="M195" s="270"/>
      <c r="N195" s="270"/>
      <c r="O195" s="258"/>
      <c r="P195" s="276">
        <v>0</v>
      </c>
      <c r="Q195" s="276">
        <v>12000</v>
      </c>
      <c r="R195" s="256">
        <f t="shared" si="71"/>
        <v>-12000</v>
      </c>
      <c r="S195" s="257">
        <f t="shared" si="72"/>
        <v>-1</v>
      </c>
      <c r="T195" s="258"/>
      <c r="U195" s="276">
        <v>0</v>
      </c>
      <c r="V195" s="255">
        <v>0</v>
      </c>
      <c r="W195" s="257" t="str">
        <f t="shared" si="73"/>
        <v>NA</v>
      </c>
      <c r="X195" s="259" t="s">
        <v>399</v>
      </c>
      <c r="Y195" s="58"/>
    </row>
    <row r="196" spans="1:37" ht="29">
      <c r="A196" s="43">
        <v>157</v>
      </c>
      <c r="C196" s="258" t="s">
        <v>157</v>
      </c>
      <c r="D196" s="268"/>
      <c r="E196" s="269"/>
      <c r="F196" s="270"/>
      <c r="G196" s="270"/>
      <c r="H196" s="270"/>
      <c r="I196" s="270"/>
      <c r="J196" s="270"/>
      <c r="K196" s="270"/>
      <c r="L196" s="270"/>
      <c r="M196" s="270"/>
      <c r="N196" s="270"/>
      <c r="O196" s="258"/>
      <c r="P196" s="276">
        <v>16</v>
      </c>
      <c r="Q196" s="276">
        <v>521</v>
      </c>
      <c r="R196" s="256">
        <f t="shared" si="71"/>
        <v>-505</v>
      </c>
      <c r="S196" s="257">
        <f t="shared" si="72"/>
        <v>-0.96928982725527835</v>
      </c>
      <c r="T196" s="258"/>
      <c r="U196" s="276">
        <v>0</v>
      </c>
      <c r="V196" s="255">
        <v>0</v>
      </c>
      <c r="W196" s="257" t="str">
        <f t="shared" si="73"/>
        <v>NA</v>
      </c>
      <c r="X196" s="259" t="s">
        <v>237</v>
      </c>
      <c r="Y196" s="59"/>
    </row>
    <row r="197" spans="1:37" ht="29">
      <c r="A197" s="43">
        <v>157</v>
      </c>
      <c r="C197" s="263" t="s">
        <v>187</v>
      </c>
      <c r="D197" s="271"/>
      <c r="E197" s="272"/>
      <c r="F197" s="273"/>
      <c r="G197" s="273"/>
      <c r="H197" s="273"/>
      <c r="I197" s="273"/>
      <c r="J197" s="273"/>
      <c r="K197" s="273"/>
      <c r="L197" s="273"/>
      <c r="M197" s="273"/>
      <c r="N197" s="273"/>
      <c r="O197" s="263"/>
      <c r="P197" s="277">
        <v>0</v>
      </c>
      <c r="Q197" s="277">
        <v>0</v>
      </c>
      <c r="R197" s="261">
        <f t="shared" si="71"/>
        <v>0</v>
      </c>
      <c r="S197" s="262" t="str">
        <f t="shared" si="72"/>
        <v>NA</v>
      </c>
      <c r="T197" s="263"/>
      <c r="U197" s="260">
        <v>0</v>
      </c>
      <c r="V197" s="260">
        <v>0</v>
      </c>
      <c r="W197" s="262" t="str">
        <f t="shared" si="73"/>
        <v>NA</v>
      </c>
      <c r="X197" s="264" t="s">
        <v>188</v>
      </c>
      <c r="Y197" s="59"/>
    </row>
    <row r="198" spans="1:37" hidden="1">
      <c r="A198" s="43">
        <v>158</v>
      </c>
      <c r="C198" s="1" t="s">
        <v>80</v>
      </c>
      <c r="P198" s="54">
        <v>0</v>
      </c>
      <c r="Q198" s="54">
        <v>0</v>
      </c>
      <c r="R198" s="38">
        <f t="shared" si="71"/>
        <v>0</v>
      </c>
      <c r="S198" s="4" t="str">
        <f t="shared" si="72"/>
        <v>NA</v>
      </c>
      <c r="U198" s="52">
        <v>0</v>
      </c>
      <c r="V198" s="52">
        <v>0</v>
      </c>
      <c r="W198" s="4" t="str">
        <f t="shared" si="73"/>
        <v>NA</v>
      </c>
      <c r="X198" s="62"/>
      <c r="Y198" s="62" t="s">
        <v>139</v>
      </c>
    </row>
    <row r="199" spans="1:37" s="2" customFormat="1">
      <c r="A199" s="43">
        <v>159</v>
      </c>
      <c r="B199" s="29" t="s">
        <v>81</v>
      </c>
      <c r="C199" s="29"/>
      <c r="D199" s="29"/>
      <c r="E199" s="92"/>
      <c r="F199" s="92"/>
      <c r="G199" s="92"/>
      <c r="H199" s="92"/>
      <c r="I199" s="92"/>
      <c r="J199" s="92"/>
      <c r="K199" s="92"/>
      <c r="L199" s="92"/>
      <c r="M199" s="92"/>
      <c r="N199" s="92"/>
      <c r="O199" s="29"/>
      <c r="P199" s="29">
        <f>SUM(P193:P198)</f>
        <v>16</v>
      </c>
      <c r="Q199" s="29">
        <f>SUM(Q193:Q198)</f>
        <v>12521</v>
      </c>
      <c r="R199" s="29">
        <f>SUM(R193:R198)</f>
        <v>-12505</v>
      </c>
      <c r="S199" s="30">
        <f t="shared" si="72"/>
        <v>-0.99872214679338711</v>
      </c>
      <c r="U199" s="29">
        <f>SUM(U193:U198)</f>
        <v>0</v>
      </c>
      <c r="V199" s="29">
        <f>SUM(V193:V198)</f>
        <v>0</v>
      </c>
      <c r="W199" s="30" t="str">
        <f t="shared" si="73"/>
        <v>NA</v>
      </c>
      <c r="X199" s="75"/>
      <c r="Y199" s="61"/>
    </row>
    <row r="200" spans="1:37" ht="7.5" customHeight="1">
      <c r="A200" s="43">
        <v>160</v>
      </c>
      <c r="D200" s="1"/>
      <c r="E200" s="39"/>
      <c r="S200" s="5"/>
      <c r="X200" s="74"/>
      <c r="Y200" s="59"/>
    </row>
    <row r="201" spans="1:37">
      <c r="A201" s="43">
        <v>161</v>
      </c>
      <c r="B201" s="31" t="s">
        <v>82</v>
      </c>
      <c r="C201" s="32"/>
      <c r="D201" s="32"/>
      <c r="E201" s="93"/>
      <c r="F201" s="93"/>
      <c r="G201" s="93"/>
      <c r="H201" s="93"/>
      <c r="I201" s="93"/>
      <c r="J201" s="93"/>
      <c r="K201" s="93"/>
      <c r="L201" s="93"/>
      <c r="M201" s="93"/>
      <c r="N201" s="93"/>
      <c r="O201" s="32"/>
      <c r="P201" s="31">
        <f>P41+P93+P166+P189+P199</f>
        <v>500500</v>
      </c>
      <c r="Q201" s="31">
        <f>+Q93+Q166+Q189+Q199+Q41</f>
        <v>513300.38049999997</v>
      </c>
      <c r="R201" s="31">
        <f>+R93+R166+R189+R199+R41</f>
        <v>-2790.3804999999993</v>
      </c>
      <c r="S201" s="33">
        <f>IF(Q201=0,"NA",(+P201-Q201)/Q201)</f>
        <v>-2.4937406996525635E-2</v>
      </c>
      <c r="U201" s="31">
        <f>+U93+U166+U189+U199+U41</f>
        <v>185865.36000000002</v>
      </c>
      <c r="V201" s="31">
        <f>+V93+V166+V189+V199+V41</f>
        <v>203108.13</v>
      </c>
      <c r="W201" s="33">
        <f>IF(V201=0,"NA",(+U201-V201)/V201)</f>
        <v>-8.4894533763862579E-2</v>
      </c>
      <c r="X201" s="74"/>
      <c r="Y201" s="59"/>
      <c r="AD201" s="419">
        <f>+SUM(AD5:AD199)</f>
        <v>157541.99100000004</v>
      </c>
      <c r="AE201" s="419">
        <f t="shared" ref="AE201:AK201" si="74">+SUM(AE5:AE199)</f>
        <v>106386.79099999998</v>
      </c>
      <c r="AF201" s="419">
        <f t="shared" si="74"/>
        <v>128619.21800000001</v>
      </c>
      <c r="AG201" s="419">
        <f t="shared" si="74"/>
        <v>107941</v>
      </c>
      <c r="AH201" s="419">
        <f>+SUM(AH5:AH199)</f>
        <v>61944.635540000003</v>
      </c>
      <c r="AI201" s="419">
        <f t="shared" si="74"/>
        <v>34608.135539999996</v>
      </c>
      <c r="AJ201" s="419">
        <f t="shared" si="74"/>
        <v>44740.14892</v>
      </c>
      <c r="AK201" s="419">
        <f t="shared" si="74"/>
        <v>44576.44</v>
      </c>
    </row>
    <row r="202" spans="1:37">
      <c r="A202" s="43">
        <v>162</v>
      </c>
      <c r="B202" s="31" t="s">
        <v>83</v>
      </c>
      <c r="C202" s="32"/>
      <c r="D202" s="32"/>
      <c r="E202" s="93"/>
      <c r="F202" s="93"/>
      <c r="G202" s="93"/>
      <c r="H202" s="93"/>
      <c r="I202" s="93"/>
      <c r="J202" s="93"/>
      <c r="K202" s="93"/>
      <c r="L202" s="93"/>
      <c r="M202" s="93"/>
      <c r="N202" s="93"/>
      <c r="O202" s="32"/>
      <c r="P202" s="31">
        <f>ROUND(+P22-P201,0)</f>
        <v>0</v>
      </c>
      <c r="Q202" s="31">
        <f>ROUND(+Q22-Q201,0)</f>
        <v>0</v>
      </c>
      <c r="R202" s="31">
        <f>ROUND(+R22-R201,0)</f>
        <v>-10010</v>
      </c>
      <c r="S202" s="33" t="str">
        <f>IF(Q202=0,"NA",(+P202-Q202)/Q202)</f>
        <v>NA</v>
      </c>
      <c r="U202" s="31">
        <f>+U22-U201</f>
        <v>53520.209999999992</v>
      </c>
      <c r="V202" s="31">
        <f>+V22-V201</f>
        <v>11098.149999999994</v>
      </c>
      <c r="W202" s="33">
        <f>IF(V202=0,"NA",(+U202-V202)/V202)</f>
        <v>3.8224442812540849</v>
      </c>
      <c r="X202" s="74"/>
      <c r="Y202" s="59"/>
    </row>
    <row r="203" spans="1:37" ht="15" thickBot="1">
      <c r="S203" s="5"/>
      <c r="X203" s="74"/>
      <c r="Y203" s="59"/>
    </row>
    <row r="204" spans="1:37">
      <c r="B204" s="106" t="s">
        <v>168</v>
      </c>
      <c r="C204" s="107"/>
      <c r="D204" s="107"/>
      <c r="E204" s="108"/>
      <c r="F204" s="108"/>
      <c r="G204" s="108"/>
      <c r="H204" s="108"/>
      <c r="I204" s="108"/>
      <c r="J204" s="108"/>
      <c r="K204" s="108"/>
      <c r="L204" s="108"/>
      <c r="M204" s="108"/>
      <c r="N204" s="108"/>
      <c r="O204" s="107"/>
      <c r="P204" s="109">
        <f>+P22-P20</f>
        <v>500500</v>
      </c>
      <c r="Q204" s="109">
        <f>+Q22-Q20</f>
        <v>513300</v>
      </c>
      <c r="R204" s="110">
        <f>+P204-Q204</f>
        <v>-12800</v>
      </c>
      <c r="S204" s="111">
        <f>IF(Q204=0,"NA",(+P204-Q204)/Q204)</f>
        <v>-2.4936684200272743E-2</v>
      </c>
      <c r="T204" s="107"/>
      <c r="U204" s="109">
        <f>+U22-U20</f>
        <v>239385.57</v>
      </c>
      <c r="V204" s="109">
        <f>+V22-V20</f>
        <v>214206.28</v>
      </c>
      <c r="W204" s="112">
        <f>IF(V204=0,"NA",(+U204-V204)/V204)</f>
        <v>0.1175469271955986</v>
      </c>
      <c r="X204" s="62" t="s">
        <v>199</v>
      </c>
      <c r="Y204" s="59"/>
    </row>
    <row r="205" spans="1:37">
      <c r="B205" s="113" t="s">
        <v>160</v>
      </c>
      <c r="C205" s="101"/>
      <c r="D205" s="101"/>
      <c r="E205" s="102"/>
      <c r="F205" s="102"/>
      <c r="G205" s="102"/>
      <c r="H205" s="102"/>
      <c r="I205" s="102"/>
      <c r="J205" s="102"/>
      <c r="K205" s="102"/>
      <c r="L205" s="102"/>
      <c r="M205" s="102"/>
      <c r="N205" s="102"/>
      <c r="O205" s="101"/>
      <c r="P205" s="103">
        <f>+P201-P199</f>
        <v>500484</v>
      </c>
      <c r="Q205" s="103">
        <f>+Q201-Q199</f>
        <v>500779.38049999997</v>
      </c>
      <c r="R205" s="104">
        <f>+P205-Q205</f>
        <v>-295.3804999999702</v>
      </c>
      <c r="S205" s="105">
        <f>IF(Q205=0,"NA",(+P205-Q205)/Q205)</f>
        <v>-5.8984157795205028E-4</v>
      </c>
      <c r="T205" s="101"/>
      <c r="U205" s="103">
        <f>+U201-U199</f>
        <v>185865.36000000002</v>
      </c>
      <c r="V205" s="103">
        <f>+V201-V199</f>
        <v>203108.13</v>
      </c>
      <c r="W205" s="114">
        <f>IF(V205=0,"NA",(+U205-V205)/V205)</f>
        <v>-8.4894533763862579E-2</v>
      </c>
      <c r="X205" s="74"/>
      <c r="Y205" s="59"/>
    </row>
    <row r="206" spans="1:37" ht="15" thickBot="1">
      <c r="B206" s="115" t="s">
        <v>169</v>
      </c>
      <c r="C206" s="116"/>
      <c r="D206" s="116"/>
      <c r="E206" s="117"/>
      <c r="F206" s="117"/>
      <c r="G206" s="117"/>
      <c r="H206" s="118"/>
      <c r="I206" s="118"/>
      <c r="J206" s="118"/>
      <c r="K206" s="118"/>
      <c r="L206" s="118"/>
      <c r="M206" s="118"/>
      <c r="N206" s="118"/>
      <c r="O206" s="116"/>
      <c r="P206" s="119">
        <f>+P204-P205</f>
        <v>16</v>
      </c>
      <c r="Q206" s="119">
        <f>+Q204-Q205</f>
        <v>12520.61950000003</v>
      </c>
      <c r="R206" s="120">
        <f>+P206-Q206</f>
        <v>-12504.61950000003</v>
      </c>
      <c r="S206" s="121">
        <f>IF(Q206=0,"NA",(+P206-Q206)/Q206)</f>
        <v>-0.99872210795959415</v>
      </c>
      <c r="T206" s="116"/>
      <c r="U206" s="119">
        <f>+U204-U205</f>
        <v>53520.209999999992</v>
      </c>
      <c r="V206" s="119">
        <f>+V204-V205</f>
        <v>11098.149999999994</v>
      </c>
      <c r="W206" s="122">
        <f>IF(V206=0,"NA",(+U206-V206)/V206)</f>
        <v>3.8224442812540849</v>
      </c>
      <c r="X206" s="74"/>
      <c r="Y206" s="59"/>
    </row>
    <row r="207" spans="1:37">
      <c r="S207" s="5"/>
      <c r="X207" s="59"/>
      <c r="Y207" s="59"/>
    </row>
    <row r="208" spans="1:37">
      <c r="H208" s="94"/>
      <c r="I208" s="94"/>
      <c r="J208" s="94"/>
      <c r="K208" s="94"/>
      <c r="L208" s="94"/>
      <c r="M208" s="94"/>
      <c r="N208" s="94"/>
      <c r="W208" s="1"/>
      <c r="X208" s="59"/>
      <c r="Y208" s="59"/>
    </row>
    <row r="209" spans="1:25">
      <c r="S209" s="5"/>
      <c r="X209" s="59"/>
      <c r="Y209" s="59"/>
    </row>
    <row r="210" spans="1:25">
      <c r="D210" s="76"/>
      <c r="E210" s="95"/>
      <c r="S210" s="5"/>
      <c r="X210" s="59"/>
      <c r="Y210" s="59"/>
    </row>
    <row r="211" spans="1:25">
      <c r="S211" s="5"/>
      <c r="X211" s="59"/>
      <c r="Y211" s="59"/>
    </row>
    <row r="212" spans="1:25">
      <c r="A212" s="1"/>
      <c r="B212" s="1"/>
      <c r="S212" s="5"/>
      <c r="W212" s="1"/>
      <c r="X212" s="67"/>
      <c r="Y212" s="67"/>
    </row>
    <row r="213" spans="1:25">
      <c r="A213" s="1"/>
      <c r="B213" s="1"/>
      <c r="S213" s="5"/>
      <c r="W213" s="1"/>
      <c r="X213" s="67"/>
      <c r="Y213" s="67"/>
    </row>
    <row r="214" spans="1:25">
      <c r="A214" s="1"/>
      <c r="B214" s="1"/>
      <c r="S214" s="5"/>
      <c r="W214" s="1"/>
      <c r="X214" s="67"/>
      <c r="Y214" s="67"/>
    </row>
    <row r="215" spans="1:25">
      <c r="A215" s="1"/>
      <c r="B215" s="1"/>
      <c r="S215" s="5"/>
      <c r="W215" s="1"/>
      <c r="X215" s="67"/>
      <c r="Y215" s="67"/>
    </row>
    <row r="216" spans="1:25">
      <c r="A216" s="1"/>
      <c r="B216" s="1"/>
      <c r="S216" s="5"/>
      <c r="W216" s="1"/>
      <c r="X216" s="67"/>
      <c r="Y216" s="67"/>
    </row>
    <row r="217" spans="1:25">
      <c r="A217" s="1"/>
      <c r="B217" s="1"/>
      <c r="S217" s="5"/>
      <c r="W217" s="1"/>
      <c r="X217" s="67"/>
      <c r="Y217" s="67"/>
    </row>
    <row r="218" spans="1:25">
      <c r="A218" s="1"/>
      <c r="B218" s="1"/>
      <c r="S218" s="5"/>
      <c r="W218" s="1"/>
      <c r="X218" s="67"/>
      <c r="Y218" s="38"/>
    </row>
    <row r="219" spans="1:25">
      <c r="A219" s="1"/>
      <c r="B219" s="1"/>
      <c r="S219" s="5"/>
      <c r="W219" s="1"/>
      <c r="X219" s="67"/>
      <c r="Y219" s="38"/>
    </row>
    <row r="220" spans="1:25">
      <c r="A220" s="1"/>
      <c r="B220" s="1"/>
      <c r="S220" s="5"/>
      <c r="W220" s="1"/>
      <c r="X220" s="67"/>
      <c r="Y220" s="38"/>
    </row>
    <row r="221" spans="1:25">
      <c r="A221" s="1"/>
      <c r="B221" s="1"/>
      <c r="S221" s="5"/>
      <c r="W221" s="1"/>
      <c r="X221" s="67"/>
      <c r="Y221" s="38"/>
    </row>
    <row r="222" spans="1:25">
      <c r="A222" s="1"/>
      <c r="B222" s="1"/>
      <c r="S222" s="5"/>
      <c r="W222" s="1"/>
      <c r="X222" s="67"/>
      <c r="Y222" s="38"/>
    </row>
    <row r="223" spans="1:25">
      <c r="A223" s="1"/>
      <c r="B223" s="1"/>
      <c r="S223" s="5"/>
      <c r="W223" s="1"/>
      <c r="X223" s="67"/>
      <c r="Y223" s="38"/>
    </row>
    <row r="224" spans="1:25">
      <c r="A224" s="1"/>
      <c r="B224" s="1"/>
      <c r="S224" s="5"/>
      <c r="W224" s="1"/>
      <c r="X224" s="67"/>
      <c r="Y224" s="38"/>
    </row>
    <row r="225" spans="1:25">
      <c r="A225" s="1"/>
      <c r="B225" s="1"/>
      <c r="S225" s="5"/>
      <c r="W225" s="1"/>
      <c r="X225" s="68"/>
      <c r="Y225" s="38"/>
    </row>
    <row r="226" spans="1:25">
      <c r="Y226" s="38"/>
    </row>
    <row r="227" spans="1:25">
      <c r="Y227" s="47"/>
    </row>
    <row r="228" spans="1:25">
      <c r="Y228" s="47"/>
    </row>
    <row r="229" spans="1:25">
      <c r="Y229" s="47"/>
    </row>
    <row r="230" spans="1:25">
      <c r="Y230" s="47"/>
    </row>
    <row r="231" spans="1:25">
      <c r="Y231" s="47"/>
    </row>
    <row r="232" spans="1:25">
      <c r="Y232" s="47"/>
    </row>
    <row r="233" spans="1:25">
      <c r="Y233" s="47"/>
    </row>
    <row r="234" spans="1:25">
      <c r="Y234" s="47"/>
    </row>
    <row r="235" spans="1:25">
      <c r="Y235" s="47"/>
    </row>
    <row r="236" spans="1:25">
      <c r="Y236" s="47"/>
    </row>
    <row r="237" spans="1:25">
      <c r="Y237" s="47"/>
    </row>
    <row r="238" spans="1:25">
      <c r="Y238" s="47"/>
    </row>
    <row r="239" spans="1:25">
      <c r="Y239" s="47"/>
    </row>
    <row r="240" spans="1:25">
      <c r="Y240" s="47"/>
    </row>
    <row r="241" spans="25:25">
      <c r="Y241" s="47"/>
    </row>
    <row r="242" spans="25:25">
      <c r="Y242" s="47"/>
    </row>
    <row r="243" spans="25:25">
      <c r="Y243" s="47"/>
    </row>
    <row r="244" spans="25:25">
      <c r="Y244" s="47"/>
    </row>
    <row r="245" spans="25:25">
      <c r="Y245" s="47"/>
    </row>
    <row r="246" spans="25:25">
      <c r="Y246" s="47"/>
    </row>
    <row r="247" spans="25:25">
      <c r="Y247" s="47"/>
    </row>
    <row r="248" spans="25:25">
      <c r="Y248" s="47"/>
    </row>
    <row r="249" spans="25:25">
      <c r="Y249" s="47"/>
    </row>
    <row r="250" spans="25:25">
      <c r="Y250" s="47"/>
    </row>
    <row r="251" spans="25:25">
      <c r="Y251" s="47"/>
    </row>
    <row r="252" spans="25:25">
      <c r="Y252" s="47"/>
    </row>
    <row r="253" spans="25:25">
      <c r="Y253" s="47"/>
    </row>
    <row r="254" spans="25:25">
      <c r="Y254" s="47"/>
    </row>
  </sheetData>
  <mergeCells count="28">
    <mergeCell ref="AD3:AG3"/>
    <mergeCell ref="AH3:AK3"/>
    <mergeCell ref="B1:X1"/>
    <mergeCell ref="O95:O96"/>
    <mergeCell ref="P2:S2"/>
    <mergeCell ref="U2:W2"/>
    <mergeCell ref="R3:S3"/>
    <mergeCell ref="U3:U4"/>
    <mergeCell ref="V3:V4"/>
    <mergeCell ref="W3:W4"/>
    <mergeCell ref="P3:P4"/>
    <mergeCell ref="Q3:Q4"/>
    <mergeCell ref="E92:H92"/>
    <mergeCell ref="E90:M90"/>
    <mergeCell ref="G96:H96"/>
    <mergeCell ref="G95:H95"/>
    <mergeCell ref="C184:D184"/>
    <mergeCell ref="E149:H149"/>
    <mergeCell ref="I149:L149"/>
    <mergeCell ref="E147:O147"/>
    <mergeCell ref="L100:O100"/>
    <mergeCell ref="C161:D161"/>
    <mergeCell ref="I92:L92"/>
    <mergeCell ref="C100:D100"/>
    <mergeCell ref="C144:D144"/>
    <mergeCell ref="G109:H109"/>
    <mergeCell ref="C113:D113"/>
    <mergeCell ref="L113:O113"/>
  </mergeCells>
  <pageMargins left="0" right="0" top="0.25" bottom="0.5" header="0.3" footer="0.3"/>
  <pageSetup scale="72"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F17"/>
  <sheetViews>
    <sheetView showGridLines="0" topLeftCell="A3" workbookViewId="0">
      <selection activeCell="D6" sqref="D6:D16"/>
    </sheetView>
  </sheetViews>
  <sheetFormatPr defaultRowHeight="14.5"/>
  <cols>
    <col min="2" max="2" width="31.36328125" customWidth="1"/>
    <col min="5" max="5" width="10.453125" customWidth="1"/>
  </cols>
  <sheetData>
    <row r="1" spans="1:6" ht="23.5">
      <c r="A1" s="747" t="s">
        <v>87</v>
      </c>
      <c r="B1" s="747"/>
      <c r="C1" s="747"/>
      <c r="D1" s="747"/>
      <c r="E1" s="747"/>
      <c r="F1" s="747"/>
    </row>
    <row r="4" spans="1:6" ht="29.5" customHeight="1">
      <c r="C4" s="738" t="str">
        <f>Bud_Yr&amp;" Budget"</f>
        <v>2020 Budget</v>
      </c>
      <c r="D4" s="739" t="str">
        <f>Bud_Yr-1&amp;" Budget"</f>
        <v>2019 Budget</v>
      </c>
      <c r="E4" s="732" t="str">
        <f>Bud_Yr&amp;" Budget vs             "&amp;Bud_Yr-1&amp;" Budget"</f>
        <v>2020 Budget vs             2019 Budget</v>
      </c>
      <c r="F4" s="733"/>
    </row>
    <row r="5" spans="1:6">
      <c r="C5" s="745"/>
      <c r="D5" s="746"/>
      <c r="E5" s="607" t="s">
        <v>113</v>
      </c>
      <c r="F5" s="608" t="s">
        <v>114</v>
      </c>
    </row>
    <row r="6" spans="1:6">
      <c r="B6" s="609" t="s">
        <v>453</v>
      </c>
      <c r="C6" s="610">
        <f>28630+40040-39880</f>
        <v>28790</v>
      </c>
      <c r="D6" s="610">
        <v>31400</v>
      </c>
      <c r="E6" s="611">
        <f t="shared" ref="E6" si="0">+C6-D6</f>
        <v>-2610</v>
      </c>
      <c r="F6" s="612">
        <f t="shared" ref="F6" si="1">IF(D6=0,"NA",(+C6-D6)/D6)</f>
        <v>-8.312101910828025E-2</v>
      </c>
    </row>
    <row r="7" spans="1:6">
      <c r="B7" s="613" t="s">
        <v>454</v>
      </c>
      <c r="C7" s="276">
        <v>6000</v>
      </c>
      <c r="D7" s="276">
        <v>12000</v>
      </c>
      <c r="E7" s="256">
        <f t="shared" ref="E7" si="2">+C7-D7</f>
        <v>-6000</v>
      </c>
      <c r="F7" s="614">
        <f t="shared" ref="F7" si="3">IF(D7=0,"NA",(+C7-D7)/D7)</f>
        <v>-0.5</v>
      </c>
    </row>
    <row r="8" spans="1:6">
      <c r="B8" s="613" t="s">
        <v>455</v>
      </c>
      <c r="C8" s="276">
        <v>500</v>
      </c>
      <c r="D8" s="276">
        <v>500</v>
      </c>
      <c r="E8" s="256">
        <f t="shared" ref="E8:E15" si="4">+C8-D8</f>
        <v>0</v>
      </c>
      <c r="F8" s="614">
        <f t="shared" ref="F8:F15" si="5">IF(D8=0,"NA",(+C8-D8)/D8)</f>
        <v>0</v>
      </c>
    </row>
    <row r="9" spans="1:6">
      <c r="B9" s="613" t="s">
        <v>465</v>
      </c>
      <c r="C9" s="276">
        <v>1000</v>
      </c>
      <c r="D9" s="276">
        <v>1400</v>
      </c>
      <c r="E9" s="256">
        <f t="shared" si="4"/>
        <v>-400</v>
      </c>
      <c r="F9" s="614">
        <f t="shared" si="5"/>
        <v>-0.2857142857142857</v>
      </c>
    </row>
    <row r="10" spans="1:6">
      <c r="B10" s="613" t="s">
        <v>456</v>
      </c>
      <c r="C10" s="276">
        <v>750</v>
      </c>
      <c r="D10" s="276">
        <v>1200</v>
      </c>
      <c r="E10" s="256">
        <f t="shared" si="4"/>
        <v>-450</v>
      </c>
      <c r="F10" s="614">
        <f t="shared" si="5"/>
        <v>-0.375</v>
      </c>
    </row>
    <row r="11" spans="1:6">
      <c r="B11" s="613" t="s">
        <v>457</v>
      </c>
      <c r="C11" s="276">
        <v>500</v>
      </c>
      <c r="D11" s="276">
        <v>830</v>
      </c>
      <c r="E11" s="256">
        <f t="shared" si="4"/>
        <v>-330</v>
      </c>
      <c r="F11" s="614">
        <f t="shared" si="5"/>
        <v>-0.39759036144578314</v>
      </c>
    </row>
    <row r="12" spans="1:6">
      <c r="B12" s="613" t="s">
        <v>458</v>
      </c>
      <c r="C12" s="276">
        <v>1000</v>
      </c>
      <c r="D12" s="276">
        <v>1250</v>
      </c>
      <c r="E12" s="256">
        <f t="shared" si="4"/>
        <v>-250</v>
      </c>
      <c r="F12" s="614">
        <f t="shared" si="5"/>
        <v>-0.2</v>
      </c>
    </row>
    <row r="13" spans="1:6">
      <c r="B13" s="613" t="s">
        <v>459</v>
      </c>
      <c r="C13" s="276">
        <v>1000</v>
      </c>
      <c r="D13" s="276">
        <v>1250</v>
      </c>
      <c r="E13" s="256">
        <f t="shared" si="4"/>
        <v>-250</v>
      </c>
      <c r="F13" s="614">
        <f t="shared" si="5"/>
        <v>-0.2</v>
      </c>
    </row>
    <row r="14" spans="1:6">
      <c r="B14" s="613" t="s">
        <v>460</v>
      </c>
      <c r="C14" s="276">
        <v>500</v>
      </c>
      <c r="D14" s="276">
        <v>0</v>
      </c>
      <c r="E14" s="256">
        <f t="shared" si="4"/>
        <v>500</v>
      </c>
      <c r="F14" s="614" t="str">
        <f t="shared" si="5"/>
        <v>NA</v>
      </c>
    </row>
    <row r="15" spans="1:6">
      <c r="B15" s="613" t="s">
        <v>461</v>
      </c>
      <c r="C15" s="276">
        <v>0</v>
      </c>
      <c r="D15" s="276">
        <v>500</v>
      </c>
      <c r="E15" s="256">
        <f t="shared" si="4"/>
        <v>-500</v>
      </c>
      <c r="F15" s="614">
        <f t="shared" si="5"/>
        <v>-1</v>
      </c>
    </row>
    <row r="16" spans="1:6">
      <c r="B16" s="613" t="s">
        <v>462</v>
      </c>
      <c r="C16" s="276">
        <v>0</v>
      </c>
      <c r="D16" s="276">
        <v>1000</v>
      </c>
      <c r="E16" s="256">
        <f t="shared" ref="E16" si="6">+C16-D16</f>
        <v>-1000</v>
      </c>
      <c r="F16" s="614">
        <f t="shared" ref="F16" si="7">IF(D16=0,"NA",(+C16-D16)/D16)</f>
        <v>-1</v>
      </c>
    </row>
    <row r="17" spans="2:6">
      <c r="B17" s="615" t="s">
        <v>172</v>
      </c>
      <c r="C17" s="616">
        <f>+SUM(C6:C16)</f>
        <v>40040</v>
      </c>
      <c r="D17" s="616">
        <f t="shared" ref="D17:E17" si="8">+SUM(D6:D16)</f>
        <v>51330</v>
      </c>
      <c r="E17" s="616">
        <f t="shared" si="8"/>
        <v>-11290</v>
      </c>
      <c r="F17" s="617"/>
    </row>
  </sheetData>
  <mergeCells count="4">
    <mergeCell ref="C4:C5"/>
    <mergeCell ref="D4:D5"/>
    <mergeCell ref="E4:F4"/>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Q71"/>
  <sheetViews>
    <sheetView showGridLines="0" topLeftCell="A33" workbookViewId="0">
      <selection activeCell="A44" sqref="A44:A45"/>
    </sheetView>
  </sheetViews>
  <sheetFormatPr defaultRowHeight="14.5" outlineLevelCol="1"/>
  <cols>
    <col min="1" max="1" width="36.36328125" style="145" customWidth="1"/>
    <col min="2" max="2" width="10.453125" style="145" hidden="1" customWidth="1" outlineLevel="1"/>
    <col min="3" max="3" width="10" style="145" hidden="1" customWidth="1" outlineLevel="1"/>
    <col min="4" max="6" width="8.7265625" style="145" hidden="1" customWidth="1" outlineLevel="1"/>
    <col min="7" max="7" width="13.90625" style="145" customWidth="1" collapsed="1"/>
    <col min="8" max="8" width="13.90625" style="145" hidden="1" customWidth="1"/>
    <col min="9" max="9" width="13.90625" style="145" customWidth="1"/>
    <col min="10" max="10" width="23.6328125" style="145" customWidth="1"/>
    <col min="11" max="15" width="13.90625" style="145" customWidth="1"/>
    <col min="16" max="16384" width="8.7265625" style="145"/>
  </cols>
  <sheetData>
    <row r="1" spans="1:17">
      <c r="K1" s="753" t="s">
        <v>511</v>
      </c>
      <c r="L1" s="754"/>
      <c r="M1" s="754"/>
      <c r="N1" s="754"/>
      <c r="O1" s="755"/>
    </row>
    <row r="2" spans="1:17" ht="43.5">
      <c r="B2" s="749">
        <v>2018</v>
      </c>
      <c r="C2" s="750"/>
      <c r="D2" s="750"/>
      <c r="E2" s="750"/>
      <c r="F2" s="751"/>
      <c r="G2" s="450" t="s">
        <v>203</v>
      </c>
      <c r="H2" s="146" t="s">
        <v>225</v>
      </c>
      <c r="I2" s="239" t="s">
        <v>346</v>
      </c>
      <c r="K2" s="653" t="s">
        <v>512</v>
      </c>
      <c r="L2" s="653" t="s">
        <v>513</v>
      </c>
      <c r="M2" s="654" t="s">
        <v>514</v>
      </c>
      <c r="N2" s="654" t="s">
        <v>515</v>
      </c>
      <c r="O2" s="653" t="s">
        <v>516</v>
      </c>
    </row>
    <row r="3" spans="1:17">
      <c r="A3" s="182"/>
      <c r="B3" s="183" t="s">
        <v>201</v>
      </c>
      <c r="C3" s="184" t="s">
        <v>171</v>
      </c>
      <c r="D3" s="184" t="s">
        <v>214</v>
      </c>
      <c r="E3" s="184" t="s">
        <v>223</v>
      </c>
      <c r="F3" s="185" t="s">
        <v>208</v>
      </c>
      <c r="G3" s="186"/>
      <c r="H3" s="186"/>
      <c r="I3" s="147"/>
      <c r="K3" s="655"/>
      <c r="L3" s="655"/>
      <c r="M3" s="655"/>
      <c r="N3" s="655"/>
      <c r="O3" s="655"/>
    </row>
    <row r="4" spans="1:17">
      <c r="A4" s="187" t="s">
        <v>42</v>
      </c>
      <c r="B4" s="188">
        <v>52894</v>
      </c>
      <c r="C4" s="129">
        <f>+B7-C6</f>
        <v>46762</v>
      </c>
      <c r="D4" s="129">
        <f>+B7-D6</f>
        <v>46762</v>
      </c>
      <c r="E4" s="129">
        <f>+B4</f>
        <v>52894</v>
      </c>
      <c r="F4" s="139"/>
      <c r="G4" s="189">
        <f>+B7-G6</f>
        <v>46322</v>
      </c>
      <c r="H4" s="189"/>
      <c r="I4" s="148">
        <f>+I7-I6</f>
        <v>49539.740000000005</v>
      </c>
      <c r="K4" s="656">
        <f>+K7-K6</f>
        <v>53618</v>
      </c>
      <c r="L4" s="656">
        <f>+I4*(1+0.02)</f>
        <v>50530.534800000009</v>
      </c>
      <c r="M4" s="656">
        <f>+I4*(1+0.01)</f>
        <v>50035.137400000007</v>
      </c>
      <c r="N4" s="656">
        <f>+I4</f>
        <v>49539.740000000005</v>
      </c>
      <c r="O4" s="656">
        <f>+I4*(1+0.026)+1110</f>
        <v>51937.77324000001</v>
      </c>
    </row>
    <row r="5" spans="1:17">
      <c r="A5" s="187"/>
      <c r="B5" s="190">
        <v>0.3</v>
      </c>
      <c r="C5" s="131"/>
      <c r="D5" s="131"/>
      <c r="E5" s="130">
        <v>0.3</v>
      </c>
      <c r="F5" s="191"/>
      <c r="G5" s="192"/>
      <c r="H5" s="192"/>
      <c r="I5" s="149"/>
      <c r="K5" s="657"/>
      <c r="L5" s="657"/>
      <c r="M5" s="657"/>
      <c r="N5" s="657"/>
      <c r="O5" s="657"/>
    </row>
    <row r="6" spans="1:17" ht="15" thickBot="1">
      <c r="A6" s="187" t="s">
        <v>170</v>
      </c>
      <c r="B6" s="193">
        <f>ROUND(+B4*B5,0)</f>
        <v>15868</v>
      </c>
      <c r="C6" s="133">
        <v>22000</v>
      </c>
      <c r="D6" s="133">
        <f>+C6</f>
        <v>22000</v>
      </c>
      <c r="E6" s="132">
        <f>ROUND(+E4*E5,0)</f>
        <v>15868</v>
      </c>
      <c r="F6" s="136"/>
      <c r="G6" s="194">
        <v>22440</v>
      </c>
      <c r="H6" s="194"/>
      <c r="I6" s="150">
        <v>22000</v>
      </c>
      <c r="K6" s="658">
        <v>22000</v>
      </c>
      <c r="L6" s="659">
        <f>+I6*(1+0.02)</f>
        <v>22440</v>
      </c>
      <c r="M6" s="659">
        <f>+I6*(1+0.01)</f>
        <v>22220</v>
      </c>
      <c r="N6" s="659">
        <f>+I6</f>
        <v>22000</v>
      </c>
      <c r="O6" s="659">
        <f>+I6*(1+0.026)</f>
        <v>22572</v>
      </c>
    </row>
    <row r="7" spans="1:17" ht="14.5" customHeight="1">
      <c r="A7" s="187" t="s">
        <v>172</v>
      </c>
      <c r="B7" s="195">
        <f>+B4+B6</f>
        <v>68762</v>
      </c>
      <c r="C7" s="196">
        <f>+C4+C6</f>
        <v>68762</v>
      </c>
      <c r="D7" s="196">
        <f>+D4+D6</f>
        <v>68762</v>
      </c>
      <c r="E7" s="196">
        <f>+E4+E6</f>
        <v>68762</v>
      </c>
      <c r="F7" s="197"/>
      <c r="G7" s="198">
        <f>+G4+G6</f>
        <v>68762</v>
      </c>
      <c r="H7" s="198"/>
      <c r="I7" s="151">
        <f>ROUND(+G12+(G12*I11),2)</f>
        <v>71539.740000000005</v>
      </c>
      <c r="K7" s="695">
        <v>75618</v>
      </c>
      <c r="L7" s="660">
        <f>+L4+L6</f>
        <v>72970.534800000009</v>
      </c>
      <c r="M7" s="660">
        <f>+M4+M6</f>
        <v>72255.137400000007</v>
      </c>
      <c r="N7" s="660">
        <f>+N4+N6</f>
        <v>71539.740000000005</v>
      </c>
      <c r="O7" s="660">
        <f>+O4+O6</f>
        <v>74509.77324000001</v>
      </c>
      <c r="P7" s="152"/>
      <c r="Q7" s="152"/>
    </row>
    <row r="8" spans="1:17">
      <c r="A8" s="199"/>
      <c r="B8" s="199"/>
      <c r="C8" s="200"/>
      <c r="D8" s="200"/>
      <c r="E8" s="200"/>
      <c r="F8" s="201"/>
      <c r="G8" s="192"/>
      <c r="H8" s="192"/>
      <c r="I8" s="149"/>
      <c r="K8" s="657"/>
      <c r="L8" s="657"/>
      <c r="M8" s="657"/>
      <c r="N8" s="657"/>
      <c r="O8" s="657"/>
    </row>
    <row r="9" spans="1:17">
      <c r="A9" s="187" t="s">
        <v>186</v>
      </c>
      <c r="B9" s="199"/>
      <c r="C9" s="134">
        <f>(23/24)</f>
        <v>0.95833333333333337</v>
      </c>
      <c r="D9" s="134">
        <f>(23/24)</f>
        <v>0.95833333333333337</v>
      </c>
      <c r="E9" s="134">
        <v>1</v>
      </c>
      <c r="F9" s="135">
        <v>1</v>
      </c>
      <c r="G9" s="202">
        <v>1</v>
      </c>
      <c r="H9" s="202"/>
      <c r="I9" s="142">
        <v>1</v>
      </c>
      <c r="K9" s="661">
        <v>1</v>
      </c>
      <c r="L9" s="661">
        <v>1</v>
      </c>
      <c r="M9" s="661">
        <v>1</v>
      </c>
      <c r="N9" s="661">
        <v>1</v>
      </c>
      <c r="O9" s="661">
        <v>1</v>
      </c>
    </row>
    <row r="10" spans="1:17">
      <c r="A10" s="199"/>
      <c r="B10" s="199"/>
      <c r="C10" s="200"/>
      <c r="D10" s="200"/>
      <c r="E10" s="200"/>
      <c r="F10" s="201"/>
      <c r="G10" s="192"/>
      <c r="H10" s="192"/>
      <c r="I10" s="149"/>
      <c r="K10" s="657"/>
      <c r="L10" s="657"/>
      <c r="M10" s="657"/>
      <c r="N10" s="657"/>
      <c r="O10" s="657"/>
    </row>
    <row r="11" spans="1:17">
      <c r="A11" s="187" t="s">
        <v>204</v>
      </c>
      <c r="B11" s="199"/>
      <c r="C11" s="203">
        <v>0</v>
      </c>
      <c r="D11" s="203">
        <v>0</v>
      </c>
      <c r="E11" s="203">
        <v>0</v>
      </c>
      <c r="F11" s="204">
        <v>0</v>
      </c>
      <c r="G11" s="461">
        <v>0.02</v>
      </c>
      <c r="H11" s="205"/>
      <c r="I11" s="497">
        <f>+'New Year-Full Year'!F95</f>
        <v>0.02</v>
      </c>
      <c r="K11" s="662">
        <f>+K12/N12-1</f>
        <v>5.7003075202683773E-2</v>
      </c>
      <c r="L11" s="662">
        <f>+L12/N12-1</f>
        <v>2.0002795638803361E-2</v>
      </c>
      <c r="M11" s="662">
        <f>+M12/N12-1</f>
        <v>9.9944087223931E-3</v>
      </c>
      <c r="N11" s="663">
        <v>0</v>
      </c>
      <c r="O11" s="662">
        <f>+O12/N12-1</f>
        <v>4.1515236231478791E-2</v>
      </c>
    </row>
    <row r="12" spans="1:17">
      <c r="A12" s="206" t="s">
        <v>202</v>
      </c>
      <c r="B12" s="207"/>
      <c r="C12" s="208">
        <f>+C7*C9</f>
        <v>65896.916666666672</v>
      </c>
      <c r="D12" s="208">
        <f>+D7*D9</f>
        <v>65896.916666666672</v>
      </c>
      <c r="E12" s="208">
        <f>+E7*E9</f>
        <v>68762</v>
      </c>
      <c r="F12" s="209">
        <f>+C7*F9</f>
        <v>68762</v>
      </c>
      <c r="G12" s="451">
        <f>ROUND(+G7*(1+G11),0)</f>
        <v>70137</v>
      </c>
      <c r="H12" s="210"/>
      <c r="I12" s="154">
        <f>ROUND(+I7*I9,0)</f>
        <v>71540</v>
      </c>
      <c r="K12" s="664">
        <f t="shared" ref="K12:O12" si="0">ROUND(+K7*K9,0)</f>
        <v>75618</v>
      </c>
      <c r="L12" s="664">
        <f t="shared" si="0"/>
        <v>72971</v>
      </c>
      <c r="M12" s="664">
        <f t="shared" si="0"/>
        <v>72255</v>
      </c>
      <c r="N12" s="664">
        <f>ROUND(+N7*N9,0)</f>
        <v>71540</v>
      </c>
      <c r="O12" s="664">
        <f t="shared" si="0"/>
        <v>74510</v>
      </c>
    </row>
    <row r="13" spans="1:17">
      <c r="A13" s="199"/>
      <c r="B13" s="199"/>
      <c r="C13" s="200"/>
      <c r="D13" s="200"/>
      <c r="E13" s="200"/>
      <c r="F13" s="201"/>
      <c r="G13" s="192"/>
      <c r="H13" s="192"/>
      <c r="I13" s="149"/>
      <c r="K13" s="657"/>
      <c r="L13" s="657"/>
      <c r="M13" s="657"/>
      <c r="N13" s="657"/>
      <c r="O13" s="657"/>
    </row>
    <row r="14" spans="1:17">
      <c r="A14" s="748" t="s">
        <v>417</v>
      </c>
      <c r="B14" s="199"/>
      <c r="C14" s="200"/>
      <c r="D14" s="200"/>
      <c r="E14" s="200"/>
      <c r="F14" s="201"/>
      <c r="G14" s="192"/>
      <c r="H14" s="192"/>
      <c r="I14" s="149"/>
      <c r="K14" s="657"/>
      <c r="L14" s="657"/>
      <c r="M14" s="657"/>
      <c r="N14" s="657"/>
      <c r="O14" s="657"/>
    </row>
    <row r="15" spans="1:17">
      <c r="A15" s="748"/>
      <c r="B15" s="199"/>
      <c r="C15" s="129">
        <f>+C34</f>
        <v>0</v>
      </c>
      <c r="D15" s="129">
        <f>+D34</f>
        <v>0</v>
      </c>
      <c r="E15" s="129">
        <f>+E34</f>
        <v>8015</v>
      </c>
      <c r="F15" s="139">
        <f>+F34</f>
        <v>0</v>
      </c>
      <c r="G15" s="211">
        <f>+G36</f>
        <v>2600</v>
      </c>
      <c r="H15" s="211"/>
      <c r="I15" s="144">
        <f>+I36</f>
        <v>3467</v>
      </c>
      <c r="K15" s="665">
        <f t="shared" ref="K15:O15" si="1">+K36</f>
        <v>3467</v>
      </c>
      <c r="L15" s="665">
        <f t="shared" si="1"/>
        <v>3467</v>
      </c>
      <c r="M15" s="665">
        <f t="shared" si="1"/>
        <v>3467</v>
      </c>
      <c r="N15" s="665">
        <f>+N36</f>
        <v>3467</v>
      </c>
      <c r="O15" s="665">
        <f t="shared" si="1"/>
        <v>3467</v>
      </c>
    </row>
    <row r="16" spans="1:17">
      <c r="A16" s="748"/>
      <c r="B16" s="199"/>
      <c r="C16" s="200"/>
      <c r="D16" s="200"/>
      <c r="E16" s="200"/>
      <c r="F16" s="201"/>
      <c r="G16" s="192"/>
      <c r="H16" s="192"/>
      <c r="I16" s="149"/>
      <c r="K16" s="657"/>
      <c r="L16" s="657"/>
      <c r="M16" s="657"/>
      <c r="N16" s="657"/>
      <c r="O16" s="657"/>
    </row>
    <row r="17" spans="1:15">
      <c r="A17" s="212"/>
      <c r="B17" s="199"/>
      <c r="C17" s="200"/>
      <c r="D17" s="200"/>
      <c r="E17" s="200"/>
      <c r="F17" s="201"/>
      <c r="G17" s="192"/>
      <c r="H17" s="192"/>
      <c r="I17" s="149"/>
      <c r="K17" s="657"/>
      <c r="L17" s="657"/>
      <c r="M17" s="657"/>
      <c r="N17" s="657"/>
      <c r="O17" s="657"/>
    </row>
    <row r="18" spans="1:15">
      <c r="A18" s="206" t="s">
        <v>202</v>
      </c>
      <c r="B18" s="207"/>
      <c r="C18" s="208">
        <f>+C12+C15</f>
        <v>65896.916666666672</v>
      </c>
      <c r="D18" s="208">
        <f>+D12+D15</f>
        <v>65896.916666666672</v>
      </c>
      <c r="E18" s="208">
        <f>+E12+E15</f>
        <v>76777</v>
      </c>
      <c r="F18" s="209">
        <f>+F12+F15</f>
        <v>68762</v>
      </c>
      <c r="G18" s="451">
        <f>+G12+G15</f>
        <v>72737</v>
      </c>
      <c r="H18" s="210">
        <f>50297+22440</f>
        <v>72737</v>
      </c>
      <c r="I18" s="154">
        <f>+I12+I15</f>
        <v>75007</v>
      </c>
      <c r="K18" s="664">
        <f t="shared" ref="K18:O18" si="2">+K12+K15</f>
        <v>79085</v>
      </c>
      <c r="L18" s="664">
        <f t="shared" si="2"/>
        <v>76438</v>
      </c>
      <c r="M18" s="664">
        <f t="shared" si="2"/>
        <v>75722</v>
      </c>
      <c r="N18" s="664">
        <f>+N12+N15</f>
        <v>75007</v>
      </c>
      <c r="O18" s="664">
        <f t="shared" si="2"/>
        <v>77977</v>
      </c>
    </row>
    <row r="19" spans="1:15">
      <c r="A19" s="199"/>
      <c r="B19" s="199"/>
      <c r="C19" s="200"/>
      <c r="D19" s="200"/>
      <c r="E19" s="200"/>
      <c r="F19" s="201"/>
      <c r="G19" s="192"/>
      <c r="H19" s="192"/>
      <c r="I19" s="149"/>
      <c r="K19" s="657"/>
      <c r="L19" s="657"/>
      <c r="M19" s="657"/>
      <c r="N19" s="657"/>
      <c r="O19" s="657"/>
    </row>
    <row r="20" spans="1:15">
      <c r="A20" s="199" t="s">
        <v>379</v>
      </c>
      <c r="B20" s="199"/>
      <c r="C20" s="137">
        <v>7.6499999999999999E-2</v>
      </c>
      <c r="D20" s="137">
        <v>7.6499999999999999E-2</v>
      </c>
      <c r="E20" s="137">
        <v>7.6499999999999999E-2</v>
      </c>
      <c r="F20" s="138">
        <v>7.6499999999999999E-2</v>
      </c>
      <c r="G20" s="213">
        <v>7.6499999999999999E-2</v>
      </c>
      <c r="H20" s="213">
        <v>7.6499999999999999E-2</v>
      </c>
      <c r="I20" s="143">
        <v>7.6499999999999999E-2</v>
      </c>
      <c r="K20" s="666">
        <v>7.6499999999999999E-2</v>
      </c>
      <c r="L20" s="666">
        <v>7.6499999999999999E-2</v>
      </c>
      <c r="M20" s="666">
        <v>7.6499999999999999E-2</v>
      </c>
      <c r="N20" s="666">
        <v>7.6499999999999999E-2</v>
      </c>
      <c r="O20" s="666">
        <v>7.6499999999999999E-2</v>
      </c>
    </row>
    <row r="21" spans="1:15">
      <c r="A21" s="199" t="s">
        <v>380</v>
      </c>
      <c r="B21" s="199"/>
      <c r="C21" s="200"/>
      <c r="D21" s="200"/>
      <c r="E21" s="200"/>
      <c r="F21" s="201"/>
      <c r="G21" s="192"/>
      <c r="H21" s="192"/>
      <c r="I21" s="149"/>
      <c r="K21" s="657"/>
      <c r="L21" s="657"/>
      <c r="M21" s="657"/>
      <c r="N21" s="657"/>
      <c r="O21" s="657"/>
    </row>
    <row r="22" spans="1:15">
      <c r="A22" s="199"/>
      <c r="B22" s="199"/>
      <c r="C22" s="200"/>
      <c r="D22" s="200"/>
      <c r="E22" s="200"/>
      <c r="F22" s="201"/>
      <c r="G22" s="192"/>
      <c r="H22" s="192"/>
      <c r="I22" s="149"/>
      <c r="K22" s="657"/>
      <c r="L22" s="657"/>
      <c r="M22" s="657"/>
      <c r="N22" s="657"/>
      <c r="O22" s="657"/>
    </row>
    <row r="23" spans="1:15">
      <c r="A23" s="199" t="s">
        <v>381</v>
      </c>
      <c r="B23" s="199"/>
      <c r="C23" s="129">
        <f t="shared" ref="C23:H23" si="3">+C18*C20</f>
        <v>5041.1141250000001</v>
      </c>
      <c r="D23" s="129">
        <f t="shared" si="3"/>
        <v>5041.1141250000001</v>
      </c>
      <c r="E23" s="129">
        <f t="shared" si="3"/>
        <v>5873.4404999999997</v>
      </c>
      <c r="F23" s="139">
        <f t="shared" si="3"/>
        <v>5260.2929999999997</v>
      </c>
      <c r="G23" s="211">
        <f t="shared" si="3"/>
        <v>5564.3805000000002</v>
      </c>
      <c r="H23" s="211">
        <f t="shared" si="3"/>
        <v>5564.3805000000002</v>
      </c>
      <c r="I23" s="144">
        <f>ROUND(+I18*I20,0)</f>
        <v>5738</v>
      </c>
      <c r="J23" s="152"/>
      <c r="K23" s="665">
        <f t="shared" ref="K23:O23" si="4">ROUND(+K18*K20,0)</f>
        <v>6050</v>
      </c>
      <c r="L23" s="665">
        <f t="shared" si="4"/>
        <v>5848</v>
      </c>
      <c r="M23" s="665">
        <f t="shared" si="4"/>
        <v>5793</v>
      </c>
      <c r="N23" s="665">
        <f>ROUND(+N18*N20,0)</f>
        <v>5738</v>
      </c>
      <c r="O23" s="665">
        <f t="shared" si="4"/>
        <v>5965</v>
      </c>
    </row>
    <row r="24" spans="1:15">
      <c r="A24" s="199"/>
      <c r="B24" s="199"/>
      <c r="C24" s="200"/>
      <c r="D24" s="200"/>
      <c r="E24" s="200"/>
      <c r="F24" s="201"/>
      <c r="G24" s="192"/>
      <c r="H24" s="192"/>
      <c r="I24" s="149"/>
      <c r="K24" s="657"/>
      <c r="L24" s="657"/>
      <c r="M24" s="657"/>
      <c r="N24" s="657"/>
      <c r="O24" s="657"/>
    </row>
    <row r="25" spans="1:15">
      <c r="A25" s="214" t="s">
        <v>205</v>
      </c>
      <c r="B25" s="215"/>
      <c r="C25" s="216">
        <f t="shared" ref="C25:H25" si="5">+C18+C23</f>
        <v>70938.030791666679</v>
      </c>
      <c r="D25" s="216">
        <f t="shared" si="5"/>
        <v>70938.030791666679</v>
      </c>
      <c r="E25" s="216">
        <f t="shared" si="5"/>
        <v>82650.440499999997</v>
      </c>
      <c r="F25" s="217">
        <f t="shared" si="5"/>
        <v>74022.293000000005</v>
      </c>
      <c r="G25" s="218">
        <f t="shared" si="5"/>
        <v>78301.380499999999</v>
      </c>
      <c r="H25" s="218">
        <f t="shared" si="5"/>
        <v>78301.380499999999</v>
      </c>
      <c r="I25" s="157">
        <f t="shared" ref="I25:O25" si="6">+I18+I23</f>
        <v>80745</v>
      </c>
      <c r="K25" s="667">
        <f t="shared" si="6"/>
        <v>85135</v>
      </c>
      <c r="L25" s="667">
        <f t="shared" si="6"/>
        <v>82286</v>
      </c>
      <c r="M25" s="667">
        <f t="shared" si="6"/>
        <v>81515</v>
      </c>
      <c r="N25" s="667">
        <f t="shared" ref="N25" si="7">+N18+N23</f>
        <v>80745</v>
      </c>
      <c r="O25" s="667">
        <f t="shared" si="6"/>
        <v>83942</v>
      </c>
    </row>
    <row r="26" spans="1:15">
      <c r="A26" s="219"/>
      <c r="B26" s="219"/>
      <c r="C26" s="219"/>
      <c r="D26" s="219"/>
      <c r="E26" s="219"/>
      <c r="F26" s="219"/>
      <c r="G26" s="219"/>
      <c r="H26" s="219"/>
      <c r="I26" s="219"/>
      <c r="K26" s="219"/>
      <c r="L26" s="219"/>
      <c r="M26" s="219"/>
      <c r="N26" s="219"/>
      <c r="O26" s="219"/>
    </row>
    <row r="27" spans="1:15">
      <c r="A27" s="220" t="s">
        <v>211</v>
      </c>
      <c r="B27" s="182"/>
      <c r="C27" s="221"/>
      <c r="D27" s="221"/>
      <c r="E27" s="221"/>
      <c r="F27" s="222"/>
      <c r="G27" s="186"/>
      <c r="H27" s="222"/>
      <c r="I27" s="240"/>
      <c r="K27" s="655"/>
      <c r="L27" s="668"/>
      <c r="M27" s="668"/>
      <c r="N27" s="668"/>
      <c r="O27" s="668"/>
    </row>
    <row r="28" spans="1:15">
      <c r="A28" s="199" t="s">
        <v>206</v>
      </c>
      <c r="B28" s="199"/>
      <c r="C28" s="129">
        <f>6011.15*C9</f>
        <v>5760.6854166666662</v>
      </c>
      <c r="D28" s="129"/>
      <c r="E28" s="129">
        <f>6011.15*E9</f>
        <v>6011.15</v>
      </c>
      <c r="F28" s="139">
        <f>6011.15</f>
        <v>6011.15</v>
      </c>
      <c r="G28" s="457">
        <v>4973</v>
      </c>
      <c r="H28" s="136"/>
      <c r="I28" s="140">
        <v>5121</v>
      </c>
      <c r="J28" s="631"/>
      <c r="K28" s="669">
        <v>5121</v>
      </c>
      <c r="L28" s="670">
        <v>5121</v>
      </c>
      <c r="M28" s="670">
        <v>5121</v>
      </c>
      <c r="N28" s="670">
        <v>5121</v>
      </c>
      <c r="O28" s="670">
        <v>5121</v>
      </c>
    </row>
    <row r="29" spans="1:15">
      <c r="A29" s="199" t="s">
        <v>234</v>
      </c>
      <c r="B29" s="199"/>
      <c r="C29" s="128">
        <v>0</v>
      </c>
      <c r="D29" s="128">
        <v>0</v>
      </c>
      <c r="E29" s="128">
        <v>0</v>
      </c>
      <c r="F29" s="136">
        <v>0</v>
      </c>
      <c r="G29" s="457">
        <v>2600</v>
      </c>
      <c r="H29" s="136"/>
      <c r="I29" s="140">
        <v>2600</v>
      </c>
      <c r="J29" s="152"/>
      <c r="K29" s="669">
        <v>2600</v>
      </c>
      <c r="L29" s="670">
        <v>2600</v>
      </c>
      <c r="M29" s="670">
        <v>2600</v>
      </c>
      <c r="N29" s="670">
        <v>2600</v>
      </c>
      <c r="O29" s="670">
        <v>2600</v>
      </c>
    </row>
    <row r="30" spans="1:15" ht="14.5" customHeight="1">
      <c r="A30" s="199" t="s">
        <v>235</v>
      </c>
      <c r="B30" s="199"/>
      <c r="C30" s="129">
        <f>+C28+C29</f>
        <v>5760.6854166666662</v>
      </c>
      <c r="D30" s="129">
        <f>+D28+D29</f>
        <v>0</v>
      </c>
      <c r="E30" s="129">
        <f>+E28+E29</f>
        <v>6011.15</v>
      </c>
      <c r="F30" s="139">
        <f>+F28+F29</f>
        <v>6011.15</v>
      </c>
      <c r="G30" s="211">
        <f>+G28+G29</f>
        <v>7573</v>
      </c>
      <c r="H30" s="136"/>
      <c r="I30" s="141">
        <f>+I28+I29</f>
        <v>7721</v>
      </c>
      <c r="J30" s="752" t="s">
        <v>413</v>
      </c>
      <c r="K30" s="665">
        <f t="shared" ref="K30:O30" si="8">+K28+K29</f>
        <v>7721</v>
      </c>
      <c r="L30" s="671">
        <f t="shared" si="8"/>
        <v>7721</v>
      </c>
      <c r="M30" s="671">
        <f t="shared" si="8"/>
        <v>7721</v>
      </c>
      <c r="N30" s="671">
        <f>+N28+N29</f>
        <v>7721</v>
      </c>
      <c r="O30" s="671">
        <f t="shared" si="8"/>
        <v>7721</v>
      </c>
    </row>
    <row r="31" spans="1:15">
      <c r="A31" s="199" t="s">
        <v>207</v>
      </c>
      <c r="B31" s="199"/>
      <c r="C31" s="137">
        <v>0.25</v>
      </c>
      <c r="D31" s="137"/>
      <c r="E31" s="137">
        <v>0.25</v>
      </c>
      <c r="F31" s="138">
        <v>0.25</v>
      </c>
      <c r="G31" s="499">
        <v>0.25</v>
      </c>
      <c r="H31" s="138"/>
      <c r="I31" s="498"/>
      <c r="J31" s="752"/>
      <c r="K31" s="672"/>
      <c r="L31" s="673"/>
      <c r="M31" s="673"/>
      <c r="N31" s="673"/>
      <c r="O31" s="673"/>
    </row>
    <row r="32" spans="1:15">
      <c r="A32" s="207" t="s">
        <v>209</v>
      </c>
      <c r="B32" s="207"/>
      <c r="C32" s="223">
        <f>+C30/(1-C31)</f>
        <v>7680.9138888888883</v>
      </c>
      <c r="D32" s="224">
        <v>8015</v>
      </c>
      <c r="E32" s="223">
        <f>ROUND(+E30/(1-E31),0)</f>
        <v>8015</v>
      </c>
      <c r="F32" s="225">
        <f>+F30/(1-F31)</f>
        <v>8014.8666666666659</v>
      </c>
      <c r="G32" s="458">
        <f>ROUND(+G30/(1-G31),0)</f>
        <v>10097</v>
      </c>
      <c r="H32" s="225"/>
      <c r="I32" s="241">
        <f>+I30</f>
        <v>7721</v>
      </c>
      <c r="J32" s="752"/>
      <c r="K32" s="674">
        <f t="shared" ref="K32:O32" si="9">+K30</f>
        <v>7721</v>
      </c>
      <c r="L32" s="675">
        <f t="shared" si="9"/>
        <v>7721</v>
      </c>
      <c r="M32" s="675">
        <f t="shared" si="9"/>
        <v>7721</v>
      </c>
      <c r="N32" s="675">
        <f>+N30</f>
        <v>7721</v>
      </c>
      <c r="O32" s="675">
        <f t="shared" si="9"/>
        <v>7721</v>
      </c>
    </row>
    <row r="33" spans="1:15">
      <c r="A33" s="199"/>
      <c r="B33" s="199"/>
      <c r="C33" s="129"/>
      <c r="D33" s="129"/>
      <c r="E33" s="129"/>
      <c r="F33" s="201"/>
      <c r="G33" s="192"/>
      <c r="H33" s="201"/>
      <c r="I33" s="153"/>
      <c r="J33" s="752"/>
      <c r="K33" s="657"/>
      <c r="L33" s="676"/>
      <c r="M33" s="676"/>
      <c r="N33" s="676"/>
      <c r="O33" s="676"/>
    </row>
    <row r="34" spans="1:15">
      <c r="A34" s="199" t="s">
        <v>414</v>
      </c>
      <c r="B34" s="199"/>
      <c r="C34" s="128">
        <v>0</v>
      </c>
      <c r="D34" s="128">
        <v>0</v>
      </c>
      <c r="E34" s="128">
        <v>8015</v>
      </c>
      <c r="F34" s="136">
        <v>0</v>
      </c>
      <c r="G34" s="457"/>
      <c r="H34" s="136"/>
      <c r="I34" s="140">
        <v>2600</v>
      </c>
      <c r="J34" s="752"/>
      <c r="K34" s="669">
        <v>2600</v>
      </c>
      <c r="L34" s="670">
        <v>2600</v>
      </c>
      <c r="M34" s="670">
        <v>2600</v>
      </c>
      <c r="N34" s="670">
        <v>2600</v>
      </c>
      <c r="O34" s="670">
        <v>2600</v>
      </c>
    </row>
    <row r="35" spans="1:15">
      <c r="A35" s="199" t="s">
        <v>207</v>
      </c>
      <c r="B35" s="199"/>
      <c r="C35" s="137">
        <v>0.25</v>
      </c>
      <c r="D35" s="137"/>
      <c r="E35" s="137">
        <v>0.25</v>
      </c>
      <c r="F35" s="138">
        <v>0.25</v>
      </c>
      <c r="G35" s="213"/>
      <c r="H35" s="138"/>
      <c r="I35" s="498">
        <v>0.25</v>
      </c>
      <c r="J35" s="752"/>
      <c r="K35" s="672">
        <v>0.25</v>
      </c>
      <c r="L35" s="673">
        <v>0.25</v>
      </c>
      <c r="M35" s="673">
        <v>0.25</v>
      </c>
      <c r="N35" s="673">
        <v>0.25</v>
      </c>
      <c r="O35" s="673">
        <v>0.25</v>
      </c>
    </row>
    <row r="36" spans="1:15">
      <c r="A36" s="207" t="s">
        <v>488</v>
      </c>
      <c r="B36" s="207"/>
      <c r="C36" s="501"/>
      <c r="D36" s="501"/>
      <c r="E36" s="501"/>
      <c r="F36" s="502"/>
      <c r="G36" s="503">
        <v>2600</v>
      </c>
      <c r="H36" s="502"/>
      <c r="I36" s="241">
        <f>ROUND(+I34/(1-I35),0)</f>
        <v>3467</v>
      </c>
      <c r="J36" s="500"/>
      <c r="K36" s="674">
        <f t="shared" ref="K36:O36" si="10">ROUND(+K34/(1-K35),0)</f>
        <v>3467</v>
      </c>
      <c r="L36" s="675">
        <f t="shared" si="10"/>
        <v>3467</v>
      </c>
      <c r="M36" s="675">
        <f t="shared" si="10"/>
        <v>3467</v>
      </c>
      <c r="N36" s="675">
        <f>ROUND(+N34/(1-N35),0)</f>
        <v>3467</v>
      </c>
      <c r="O36" s="675">
        <f t="shared" si="10"/>
        <v>3467</v>
      </c>
    </row>
    <row r="37" spans="1:15">
      <c r="A37" s="214" t="s">
        <v>210</v>
      </c>
      <c r="B37" s="214"/>
      <c r="C37" s="216">
        <f>+C32-C34</f>
        <v>7680.9138888888883</v>
      </c>
      <c r="D37" s="216">
        <f>+D32-D34</f>
        <v>8015</v>
      </c>
      <c r="E37" s="216">
        <f>+E32-E34</f>
        <v>0</v>
      </c>
      <c r="F37" s="217">
        <f>+F32-F34</f>
        <v>8014.8666666666659</v>
      </c>
      <c r="G37" s="218">
        <f>+G32-G36</f>
        <v>7497</v>
      </c>
      <c r="H37" s="217"/>
      <c r="I37" s="156">
        <f>+I30-I34</f>
        <v>5121</v>
      </c>
      <c r="K37" s="667">
        <f t="shared" ref="K37:O37" si="11">+K30-K34</f>
        <v>5121</v>
      </c>
      <c r="L37" s="677">
        <f t="shared" si="11"/>
        <v>5121</v>
      </c>
      <c r="M37" s="677">
        <f t="shared" si="11"/>
        <v>5121</v>
      </c>
      <c r="N37" s="677">
        <f>+N30-N34</f>
        <v>5121</v>
      </c>
      <c r="O37" s="677">
        <f t="shared" si="11"/>
        <v>5121</v>
      </c>
    </row>
    <row r="38" spans="1:15">
      <c r="A38" s="219"/>
      <c r="B38" s="219"/>
      <c r="C38" s="219"/>
      <c r="D38" s="219"/>
      <c r="E38" s="219"/>
      <c r="F38" s="219"/>
      <c r="G38" s="219"/>
      <c r="H38" s="219"/>
      <c r="I38" s="219"/>
      <c r="K38" s="219"/>
      <c r="L38" s="219"/>
      <c r="M38" s="219"/>
      <c r="N38" s="219"/>
      <c r="O38" s="219"/>
    </row>
    <row r="39" spans="1:15">
      <c r="A39" s="220" t="s">
        <v>407</v>
      </c>
      <c r="B39" s="182"/>
      <c r="C39" s="226">
        <v>0.11</v>
      </c>
      <c r="D39" s="226">
        <v>0.11</v>
      </c>
      <c r="E39" s="226">
        <v>0.11</v>
      </c>
      <c r="F39" s="226">
        <v>0.11</v>
      </c>
      <c r="G39" s="459">
        <v>0.11</v>
      </c>
      <c r="H39" s="227"/>
      <c r="I39" s="179">
        <v>0.11</v>
      </c>
      <c r="K39" s="683">
        <v>0.11</v>
      </c>
      <c r="L39" s="678">
        <v>0.11</v>
      </c>
      <c r="M39" s="678">
        <v>0.11</v>
      </c>
      <c r="N39" s="678">
        <v>0.11</v>
      </c>
      <c r="O39" s="678">
        <v>0.11</v>
      </c>
    </row>
    <row r="40" spans="1:15">
      <c r="A40" s="199" t="s">
        <v>215</v>
      </c>
      <c r="B40" s="199"/>
      <c r="C40" s="164">
        <f>+C25</f>
        <v>70938.030791666679</v>
      </c>
      <c r="D40" s="164">
        <f>+D25</f>
        <v>70938.030791666679</v>
      </c>
      <c r="E40" s="164">
        <f>+E25</f>
        <v>82650.440499999997</v>
      </c>
      <c r="F40" s="164">
        <f>+F25</f>
        <v>74022.293000000005</v>
      </c>
      <c r="G40" s="189">
        <f>+G25</f>
        <v>78301.380499999999</v>
      </c>
      <c r="H40" s="228"/>
      <c r="I40" s="180">
        <f>+I25</f>
        <v>80745</v>
      </c>
      <c r="K40" s="656">
        <f t="shared" ref="K40:O40" si="12">+K25</f>
        <v>85135</v>
      </c>
      <c r="L40" s="679">
        <f t="shared" si="12"/>
        <v>82286</v>
      </c>
      <c r="M40" s="679">
        <f t="shared" si="12"/>
        <v>81515</v>
      </c>
      <c r="N40" s="679">
        <f>+N25</f>
        <v>80745</v>
      </c>
      <c r="O40" s="679">
        <f t="shared" si="12"/>
        <v>83942</v>
      </c>
    </row>
    <row r="41" spans="1:15">
      <c r="A41" s="199" t="s">
        <v>175</v>
      </c>
      <c r="B41" s="199"/>
      <c r="C41" s="164">
        <f>+C40*C39</f>
        <v>7803.1833870833343</v>
      </c>
      <c r="D41" s="229">
        <f>((+D40+D42)+(D20*D32))*D39</f>
        <v>8752.2796120833355</v>
      </c>
      <c r="E41" s="164">
        <f>+E40*E39</f>
        <v>9091.5484550000001</v>
      </c>
      <c r="F41" s="164">
        <f>+F40*F39</f>
        <v>8142.4522300000008</v>
      </c>
      <c r="G41" s="189">
        <f>ROUND(+G40*G39,0)</f>
        <v>8613</v>
      </c>
      <c r="H41" s="230">
        <v>8613</v>
      </c>
      <c r="I41" s="180">
        <f>ROUND(+I40*I39,0)</f>
        <v>8882</v>
      </c>
      <c r="K41" s="656">
        <f t="shared" ref="K41:O41" si="13">ROUND(+K40*K39,0)</f>
        <v>9365</v>
      </c>
      <c r="L41" s="679">
        <f t="shared" si="13"/>
        <v>9051</v>
      </c>
      <c r="M41" s="679">
        <f t="shared" si="13"/>
        <v>8967</v>
      </c>
      <c r="N41" s="679">
        <f>ROUND(+N40*N39,0)</f>
        <v>8882</v>
      </c>
      <c r="O41" s="679">
        <f t="shared" si="13"/>
        <v>9234</v>
      </c>
    </row>
    <row r="42" spans="1:15">
      <c r="A42" s="199" t="s">
        <v>212</v>
      </c>
      <c r="B42" s="199"/>
      <c r="C42" s="164">
        <f>+C37</f>
        <v>7680.9138888888883</v>
      </c>
      <c r="D42" s="164">
        <f>+D37</f>
        <v>8015</v>
      </c>
      <c r="E42" s="164">
        <f>+E37</f>
        <v>0</v>
      </c>
      <c r="F42" s="164">
        <f>+F37</f>
        <v>8014.8666666666659</v>
      </c>
      <c r="G42" s="189">
        <f>+G37</f>
        <v>7497</v>
      </c>
      <c r="H42" s="230">
        <v>5090</v>
      </c>
      <c r="I42" s="180">
        <f>+I37</f>
        <v>5121</v>
      </c>
      <c r="K42" s="656">
        <f t="shared" ref="K42:O42" si="14">+K37</f>
        <v>5121</v>
      </c>
      <c r="L42" s="679">
        <f t="shared" si="14"/>
        <v>5121</v>
      </c>
      <c r="M42" s="679">
        <f t="shared" si="14"/>
        <v>5121</v>
      </c>
      <c r="N42" s="679">
        <f>+N37</f>
        <v>5121</v>
      </c>
      <c r="O42" s="679">
        <f t="shared" si="14"/>
        <v>5121</v>
      </c>
    </row>
    <row r="43" spans="1:15">
      <c r="A43" s="511" t="s">
        <v>416</v>
      </c>
      <c r="B43" s="511"/>
      <c r="C43" s="512">
        <f t="shared" ref="C43:H43" si="15">+C41+C42</f>
        <v>15484.097275972223</v>
      </c>
      <c r="D43" s="512">
        <f t="shared" si="15"/>
        <v>16767.279612083337</v>
      </c>
      <c r="E43" s="512">
        <f t="shared" si="15"/>
        <v>9091.5484550000001</v>
      </c>
      <c r="F43" s="512">
        <f t="shared" si="15"/>
        <v>16157.318896666668</v>
      </c>
      <c r="G43" s="513">
        <f t="shared" si="15"/>
        <v>16110</v>
      </c>
      <c r="H43" s="514">
        <f t="shared" si="15"/>
        <v>13703</v>
      </c>
      <c r="I43" s="515">
        <f t="shared" ref="I43:O43" si="16">+I41+I42</f>
        <v>14003</v>
      </c>
      <c r="K43" s="684">
        <f t="shared" si="16"/>
        <v>14486</v>
      </c>
      <c r="L43" s="680">
        <f t="shared" si="16"/>
        <v>14172</v>
      </c>
      <c r="M43" s="680">
        <f t="shared" si="16"/>
        <v>14088</v>
      </c>
      <c r="N43" s="680">
        <f t="shared" ref="N43" si="17">+N41+N42</f>
        <v>14003</v>
      </c>
      <c r="O43" s="680">
        <f t="shared" si="16"/>
        <v>14355</v>
      </c>
    </row>
    <row r="44" spans="1:15">
      <c r="A44" s="199" t="s">
        <v>218</v>
      </c>
      <c r="B44" s="199"/>
      <c r="C44" s="504">
        <f>+C43/C40</f>
        <v>0.21827639001491975</v>
      </c>
      <c r="D44" s="504">
        <f>+D43/D40</f>
        <v>0.23636516865440033</v>
      </c>
      <c r="E44" s="504">
        <f>+E43/E40</f>
        <v>0.11</v>
      </c>
      <c r="F44" s="504">
        <f>+F43/F40</f>
        <v>0.21827639001491977</v>
      </c>
      <c r="G44" s="506">
        <f>+G43/G40</f>
        <v>0.20574349899233257</v>
      </c>
      <c r="H44" s="505"/>
      <c r="I44" s="507">
        <f>+I43/I40</f>
        <v>0.17342250294135861</v>
      </c>
      <c r="K44" s="685">
        <f t="shared" ref="K44:O44" si="18">+K43/K40</f>
        <v>0.17015328595759677</v>
      </c>
      <c r="L44" s="681">
        <f t="shared" si="18"/>
        <v>0.1722285686508033</v>
      </c>
      <c r="M44" s="681">
        <f t="shared" si="18"/>
        <v>0.17282708703919525</v>
      </c>
      <c r="N44" s="681">
        <f>+N43/N40</f>
        <v>0.17342250294135861</v>
      </c>
      <c r="O44" s="681">
        <f t="shared" si="18"/>
        <v>0.17101093612256082</v>
      </c>
    </row>
    <row r="45" spans="1:15">
      <c r="A45" s="199" t="s">
        <v>415</v>
      </c>
      <c r="B45" s="199"/>
      <c r="C45" s="504">
        <f>+C44/C41</f>
        <v>2.7972736149740405E-5</v>
      </c>
      <c r="D45" s="504">
        <f>+D44/D41</f>
        <v>2.7006126304291768E-5</v>
      </c>
      <c r="E45" s="504">
        <f>+E44/E41</f>
        <v>1.2099149066241214E-5</v>
      </c>
      <c r="F45" s="504">
        <f>+F44/F41</f>
        <v>2.6807205476834558E-5</v>
      </c>
      <c r="G45" s="506"/>
      <c r="H45" s="505"/>
      <c r="I45" s="508">
        <v>0.17499999999999999</v>
      </c>
      <c r="K45" s="663">
        <v>0.17499999999999999</v>
      </c>
      <c r="L45" s="682">
        <v>0.17499999999999999</v>
      </c>
      <c r="M45" s="682">
        <v>0.17499999999999999</v>
      </c>
      <c r="N45" s="682">
        <v>0.17499999999999999</v>
      </c>
      <c r="O45" s="682">
        <v>0.17499999999999999</v>
      </c>
    </row>
    <row r="46" spans="1:15">
      <c r="A46" s="214" t="s">
        <v>213</v>
      </c>
      <c r="B46" s="509"/>
      <c r="C46" s="510"/>
      <c r="D46" s="510"/>
      <c r="E46" s="510"/>
      <c r="F46" s="510"/>
      <c r="G46" s="218">
        <f>+G43</f>
        <v>16110</v>
      </c>
      <c r="H46" s="510"/>
      <c r="I46" s="156">
        <f>ROUND(+I25*I45,0)</f>
        <v>14130</v>
      </c>
      <c r="K46" s="667">
        <f t="shared" ref="K46:O46" si="19">ROUND(+K25*K45,0)</f>
        <v>14899</v>
      </c>
      <c r="L46" s="677">
        <f t="shared" si="19"/>
        <v>14400</v>
      </c>
      <c r="M46" s="677">
        <f t="shared" si="19"/>
        <v>14265</v>
      </c>
      <c r="N46" s="677">
        <f>ROUND(+N25*N45,0)</f>
        <v>14130</v>
      </c>
      <c r="O46" s="677">
        <f t="shared" si="19"/>
        <v>14690</v>
      </c>
    </row>
    <row r="47" spans="1:15">
      <c r="A47" s="219"/>
      <c r="B47" s="219"/>
      <c r="C47" s="219"/>
      <c r="D47" s="219"/>
      <c r="E47" s="219"/>
      <c r="F47" s="219"/>
      <c r="G47" s="219"/>
      <c r="H47" s="219"/>
      <c r="I47" s="219"/>
      <c r="K47" s="219"/>
      <c r="L47" s="219"/>
      <c r="M47" s="219"/>
      <c r="N47" s="219"/>
      <c r="O47" s="219"/>
    </row>
    <row r="48" spans="1:15">
      <c r="A48" s="220" t="s">
        <v>217</v>
      </c>
      <c r="B48" s="182"/>
      <c r="C48" s="221"/>
      <c r="D48" s="221"/>
      <c r="E48" s="221"/>
      <c r="F48" s="222"/>
      <c r="G48" s="186"/>
      <c r="H48" s="222"/>
      <c r="I48" s="240"/>
      <c r="K48" s="655"/>
      <c r="L48" s="668"/>
      <c r="M48" s="668"/>
      <c r="N48" s="668"/>
      <c r="O48" s="668"/>
    </row>
    <row r="49" spans="1:15">
      <c r="A49" s="199" t="s">
        <v>178</v>
      </c>
      <c r="B49" s="199"/>
      <c r="C49" s="233">
        <v>0.03</v>
      </c>
      <c r="D49" s="233">
        <v>0.03</v>
      </c>
      <c r="E49" s="233">
        <v>0.03</v>
      </c>
      <c r="F49" s="234">
        <v>0.03</v>
      </c>
      <c r="G49" s="461">
        <v>2.5000000000000001E-2</v>
      </c>
      <c r="H49" s="234">
        <v>2.5000000000000001E-2</v>
      </c>
      <c r="I49" s="242">
        <v>1.4999999999999999E-2</v>
      </c>
      <c r="K49" s="689">
        <v>1.4999999999999999E-2</v>
      </c>
      <c r="L49" s="686">
        <v>1.4999999999999999E-2</v>
      </c>
      <c r="M49" s="686">
        <v>1.4999999999999999E-2</v>
      </c>
      <c r="N49" s="686">
        <v>1.4999999999999999E-2</v>
      </c>
      <c r="O49" s="686">
        <v>1.4999999999999999E-2</v>
      </c>
    </row>
    <row r="50" spans="1:15">
      <c r="A50" s="199" t="s">
        <v>179</v>
      </c>
      <c r="B50" s="199"/>
      <c r="C50" s="233">
        <v>3.0000000000000001E-3</v>
      </c>
      <c r="D50" s="233">
        <v>3.0000000000000001E-3</v>
      </c>
      <c r="E50" s="233">
        <v>3.0000000000000001E-3</v>
      </c>
      <c r="F50" s="234">
        <v>3.0000000000000001E-3</v>
      </c>
      <c r="G50" s="461">
        <v>2E-3</v>
      </c>
      <c r="H50" s="234">
        <v>2E-3</v>
      </c>
      <c r="I50" s="242">
        <v>7.0000000000000001E-3</v>
      </c>
      <c r="K50" s="689">
        <v>7.0000000000000001E-3</v>
      </c>
      <c r="L50" s="686">
        <v>7.0000000000000001E-3</v>
      </c>
      <c r="M50" s="686">
        <v>7.0000000000000001E-3</v>
      </c>
      <c r="N50" s="686">
        <v>7.0000000000000001E-3</v>
      </c>
      <c r="O50" s="686">
        <v>7.0000000000000001E-3</v>
      </c>
    </row>
    <row r="51" spans="1:15">
      <c r="A51" s="199" t="s">
        <v>180</v>
      </c>
      <c r="B51" s="199"/>
      <c r="C51" s="233">
        <v>7.0000000000000001E-3</v>
      </c>
      <c r="D51" s="233">
        <v>7.0000000000000001E-3</v>
      </c>
      <c r="E51" s="233">
        <v>7.0000000000000001E-3</v>
      </c>
      <c r="F51" s="234">
        <v>7.0000000000000001E-3</v>
      </c>
      <c r="G51" s="461">
        <v>7.0000000000000001E-3</v>
      </c>
      <c r="H51" s="234">
        <v>7.0000000000000001E-3</v>
      </c>
      <c r="I51" s="242">
        <v>7.0000000000000001E-3</v>
      </c>
      <c r="J51" s="145" t="s">
        <v>517</v>
      </c>
      <c r="K51" s="689">
        <v>0</v>
      </c>
      <c r="L51" s="686">
        <v>0</v>
      </c>
      <c r="M51" s="686">
        <v>0</v>
      </c>
      <c r="N51" s="686">
        <v>0</v>
      </c>
      <c r="O51" s="686">
        <v>0</v>
      </c>
    </row>
    <row r="52" spans="1:15">
      <c r="A52" s="199" t="s">
        <v>220</v>
      </c>
      <c r="B52" s="199"/>
      <c r="C52" s="235">
        <f t="shared" ref="C52:H52" si="20">+C49+C50+C51</f>
        <v>0.04</v>
      </c>
      <c r="D52" s="235">
        <f t="shared" si="20"/>
        <v>0.04</v>
      </c>
      <c r="E52" s="235">
        <f t="shared" si="20"/>
        <v>0.04</v>
      </c>
      <c r="F52" s="236">
        <f t="shared" si="20"/>
        <v>0.04</v>
      </c>
      <c r="G52" s="462">
        <f t="shared" si="20"/>
        <v>3.4000000000000002E-2</v>
      </c>
      <c r="H52" s="236">
        <f t="shared" si="20"/>
        <v>3.4000000000000002E-2</v>
      </c>
      <c r="I52" s="243">
        <f t="shared" ref="I52:O52" si="21">+I49+I50+I51</f>
        <v>2.8999999999999998E-2</v>
      </c>
      <c r="K52" s="690">
        <f t="shared" si="21"/>
        <v>2.1999999999999999E-2</v>
      </c>
      <c r="L52" s="687">
        <f t="shared" si="21"/>
        <v>2.1999999999999999E-2</v>
      </c>
      <c r="M52" s="687">
        <f t="shared" si="21"/>
        <v>2.1999999999999999E-2</v>
      </c>
      <c r="N52" s="687">
        <f t="shared" ref="N52" si="22">+N49+N50+N51</f>
        <v>2.1999999999999999E-2</v>
      </c>
      <c r="O52" s="687">
        <f t="shared" si="21"/>
        <v>2.1999999999999999E-2</v>
      </c>
    </row>
    <row r="53" spans="1:15">
      <c r="A53" s="199" t="s">
        <v>215</v>
      </c>
      <c r="B53" s="199"/>
      <c r="C53" s="164">
        <f t="shared" ref="C53:H53" si="23">+C25</f>
        <v>70938.030791666679</v>
      </c>
      <c r="D53" s="164">
        <f t="shared" si="23"/>
        <v>70938.030791666679</v>
      </c>
      <c r="E53" s="164">
        <f t="shared" si="23"/>
        <v>82650.440499999997</v>
      </c>
      <c r="F53" s="228">
        <f t="shared" si="23"/>
        <v>74022.293000000005</v>
      </c>
      <c r="G53" s="189">
        <f t="shared" si="23"/>
        <v>78301.380499999999</v>
      </c>
      <c r="H53" s="228">
        <f t="shared" si="23"/>
        <v>78301.380499999999</v>
      </c>
      <c r="I53" s="180">
        <f t="shared" ref="I53:O53" si="24">+I25</f>
        <v>80745</v>
      </c>
      <c r="K53" s="656">
        <f t="shared" si="24"/>
        <v>85135</v>
      </c>
      <c r="L53" s="679">
        <f t="shared" si="24"/>
        <v>82286</v>
      </c>
      <c r="M53" s="679">
        <f t="shared" si="24"/>
        <v>81515</v>
      </c>
      <c r="N53" s="679">
        <f t="shared" ref="N53" si="25">+N25</f>
        <v>80745</v>
      </c>
      <c r="O53" s="679">
        <f t="shared" si="24"/>
        <v>83942</v>
      </c>
    </row>
    <row r="54" spans="1:15" ht="43.5" hidden="1">
      <c r="A54" s="237" t="s">
        <v>224</v>
      </c>
      <c r="B54" s="199"/>
      <c r="C54" s="164">
        <f>+C32</f>
        <v>7680.9138888888883</v>
      </c>
      <c r="D54" s="164">
        <f>+D32</f>
        <v>8015</v>
      </c>
      <c r="E54" s="238">
        <v>0</v>
      </c>
      <c r="F54" s="228">
        <f>+F32</f>
        <v>8014.8666666666659</v>
      </c>
      <c r="G54" s="453">
        <v>0</v>
      </c>
      <c r="H54" s="230">
        <v>0</v>
      </c>
      <c r="I54" s="181">
        <v>0</v>
      </c>
      <c r="K54" s="691">
        <v>0</v>
      </c>
      <c r="L54" s="688">
        <v>0</v>
      </c>
      <c r="M54" s="688">
        <v>0</v>
      </c>
      <c r="N54" s="688">
        <v>0</v>
      </c>
      <c r="O54" s="688">
        <v>0</v>
      </c>
    </row>
    <row r="55" spans="1:15" ht="29" hidden="1">
      <c r="A55" s="237" t="s">
        <v>222</v>
      </c>
      <c r="B55" s="199"/>
      <c r="C55" s="164">
        <f>+C37*C20</f>
        <v>587.58991249999997</v>
      </c>
      <c r="D55" s="164">
        <f>+D37*D20</f>
        <v>613.14750000000004</v>
      </c>
      <c r="E55" s="164">
        <f>+E37*E20</f>
        <v>0</v>
      </c>
      <c r="F55" s="228">
        <f>+F37*F20</f>
        <v>613.13729999999998</v>
      </c>
      <c r="G55" s="189"/>
      <c r="H55" s="228"/>
      <c r="I55" s="180"/>
      <c r="K55" s="656"/>
      <c r="L55" s="679"/>
      <c r="M55" s="679"/>
      <c r="N55" s="679"/>
      <c r="O55" s="679"/>
    </row>
    <row r="56" spans="1:15" hidden="1">
      <c r="A56" s="161" t="s">
        <v>221</v>
      </c>
      <c r="B56" s="161"/>
      <c r="C56" s="162">
        <f t="shared" ref="C56:H56" si="26">SUM(C53:C55)</f>
        <v>79206.534593055563</v>
      </c>
      <c r="D56" s="162">
        <f t="shared" si="26"/>
        <v>79566.178291666685</v>
      </c>
      <c r="E56" s="162">
        <f t="shared" si="26"/>
        <v>82650.440499999997</v>
      </c>
      <c r="F56" s="163">
        <f t="shared" si="26"/>
        <v>82650.296966666676</v>
      </c>
      <c r="G56" s="189">
        <f t="shared" si="26"/>
        <v>78301.380499999999</v>
      </c>
      <c r="H56" s="163">
        <f t="shared" si="26"/>
        <v>78301.380499999999</v>
      </c>
      <c r="I56" s="180">
        <f t="shared" ref="I56:O56" si="27">SUM(I53:I55)</f>
        <v>80745</v>
      </c>
      <c r="K56" s="656">
        <f t="shared" si="27"/>
        <v>85135</v>
      </c>
      <c r="L56" s="679">
        <f t="shared" si="27"/>
        <v>82286</v>
      </c>
      <c r="M56" s="679">
        <f t="shared" si="27"/>
        <v>81515</v>
      </c>
      <c r="N56" s="679">
        <f t="shared" ref="N56" si="28">SUM(N53:N55)</f>
        <v>80745</v>
      </c>
      <c r="O56" s="679">
        <f t="shared" si="27"/>
        <v>83942</v>
      </c>
    </row>
    <row r="57" spans="1:15">
      <c r="A57" s="167" t="s">
        <v>219</v>
      </c>
      <c r="B57" s="167"/>
      <c r="C57" s="168">
        <f>+C56*C52</f>
        <v>3168.2613837222225</v>
      </c>
      <c r="D57" s="168">
        <f>+D56*D52+1</f>
        <v>3183.6471316666675</v>
      </c>
      <c r="E57" s="168">
        <f>+E56*E52+1</f>
        <v>3307.0176200000001</v>
      </c>
      <c r="F57" s="169">
        <f>+F56*F52+1</f>
        <v>3307.0118786666671</v>
      </c>
      <c r="G57" s="218">
        <f>ROUND(+G56*G52,0)</f>
        <v>2662</v>
      </c>
      <c r="H57" s="169">
        <f>+H56*H52</f>
        <v>2662.2469370000003</v>
      </c>
      <c r="I57" s="156">
        <f>ROUND(+I56*I52,0)</f>
        <v>2342</v>
      </c>
      <c r="K57" s="667">
        <f t="shared" ref="K57:O57" si="29">ROUND(+K56*K52,0)</f>
        <v>1873</v>
      </c>
      <c r="L57" s="677">
        <f t="shared" si="29"/>
        <v>1810</v>
      </c>
      <c r="M57" s="677">
        <f t="shared" si="29"/>
        <v>1793</v>
      </c>
      <c r="N57" s="677">
        <f>ROUND(+N56*N52,0)</f>
        <v>1776</v>
      </c>
      <c r="O57" s="677">
        <f t="shared" si="29"/>
        <v>1847</v>
      </c>
    </row>
    <row r="58" spans="1:15">
      <c r="D58" s="152"/>
      <c r="E58" s="152"/>
      <c r="G58" s="219"/>
    </row>
    <row r="59" spans="1:15">
      <c r="A59" s="158" t="s">
        <v>107</v>
      </c>
      <c r="B59" s="159"/>
      <c r="C59" s="170"/>
      <c r="D59" s="170"/>
      <c r="E59" s="170"/>
      <c r="F59" s="171"/>
      <c r="G59" s="452"/>
      <c r="H59" s="171"/>
      <c r="I59" s="244"/>
      <c r="K59" s="692"/>
      <c r="L59" s="692"/>
      <c r="M59" s="692"/>
      <c r="N59" s="692"/>
      <c r="O59" s="692"/>
    </row>
    <row r="60" spans="1:15">
      <c r="A60" s="161" t="s">
        <v>226</v>
      </c>
      <c r="B60" s="161"/>
      <c r="C60" s="165">
        <v>1500</v>
      </c>
      <c r="D60" s="165">
        <v>1500</v>
      </c>
      <c r="E60" s="165">
        <v>1500</v>
      </c>
      <c r="F60" s="166">
        <v>1500</v>
      </c>
      <c r="G60" s="453">
        <v>1500</v>
      </c>
      <c r="H60" s="166">
        <v>1500</v>
      </c>
      <c r="I60" s="245">
        <v>1500</v>
      </c>
      <c r="K60" s="691">
        <v>1500</v>
      </c>
      <c r="L60" s="691">
        <v>1500</v>
      </c>
      <c r="M60" s="691">
        <v>1500</v>
      </c>
      <c r="N60" s="691">
        <v>1500</v>
      </c>
      <c r="O60" s="691">
        <v>1500</v>
      </c>
    </row>
    <row r="61" spans="1:15">
      <c r="A61" s="161" t="s">
        <v>227</v>
      </c>
      <c r="B61" s="161"/>
      <c r="C61" s="165">
        <v>1000</v>
      </c>
      <c r="D61" s="165">
        <v>1000</v>
      </c>
      <c r="E61" s="165">
        <v>1000</v>
      </c>
      <c r="F61" s="166">
        <v>1000</v>
      </c>
      <c r="G61" s="453">
        <v>1000</v>
      </c>
      <c r="H61" s="166">
        <v>700</v>
      </c>
      <c r="I61" s="245">
        <v>1000</v>
      </c>
      <c r="K61" s="691">
        <v>1000</v>
      </c>
      <c r="L61" s="691">
        <v>1000</v>
      </c>
      <c r="M61" s="691">
        <v>1000</v>
      </c>
      <c r="N61" s="691">
        <v>1000</v>
      </c>
      <c r="O61" s="691">
        <v>1000</v>
      </c>
    </row>
    <row r="62" spans="1:15">
      <c r="A62" s="161" t="s">
        <v>107</v>
      </c>
      <c r="B62" s="161"/>
      <c r="C62" s="165">
        <v>600</v>
      </c>
      <c r="D62" s="165">
        <v>600</v>
      </c>
      <c r="E62" s="165">
        <v>600</v>
      </c>
      <c r="F62" s="166">
        <v>600</v>
      </c>
      <c r="G62" s="453">
        <v>600</v>
      </c>
      <c r="H62" s="166">
        <v>600</v>
      </c>
      <c r="I62" s="245">
        <v>600</v>
      </c>
      <c r="K62" s="691">
        <v>600</v>
      </c>
      <c r="L62" s="691">
        <v>600</v>
      </c>
      <c r="M62" s="691">
        <v>600</v>
      </c>
      <c r="N62" s="691">
        <v>600</v>
      </c>
      <c r="O62" s="691">
        <v>600</v>
      </c>
    </row>
    <row r="63" spans="1:15">
      <c r="A63" s="199" t="s">
        <v>243</v>
      </c>
      <c r="B63" s="199"/>
      <c r="C63" s="200"/>
      <c r="D63" s="200"/>
      <c r="E63" s="200"/>
      <c r="F63" s="201"/>
      <c r="G63" s="453">
        <f>40*12</f>
        <v>480</v>
      </c>
      <c r="H63" s="181">
        <f>25*12</f>
        <v>300</v>
      </c>
      <c r="I63" s="245">
        <f>ROUND(40*12,0)</f>
        <v>480</v>
      </c>
      <c r="K63" s="691">
        <f t="shared" ref="K63:O63" si="30">ROUND(40*12,0)</f>
        <v>480</v>
      </c>
      <c r="L63" s="691">
        <f t="shared" si="30"/>
        <v>480</v>
      </c>
      <c r="M63" s="691">
        <f t="shared" si="30"/>
        <v>480</v>
      </c>
      <c r="N63" s="691">
        <f>ROUND(40*12,0)</f>
        <v>480</v>
      </c>
      <c r="O63" s="691">
        <f t="shared" si="30"/>
        <v>480</v>
      </c>
    </row>
    <row r="64" spans="1:15">
      <c r="A64" s="172" t="s">
        <v>229</v>
      </c>
      <c r="B64" s="172"/>
      <c r="C64" s="173">
        <f t="shared" ref="C64:H64" si="31">+SUM(C60:C63)</f>
        <v>3100</v>
      </c>
      <c r="D64" s="173">
        <f t="shared" si="31"/>
        <v>3100</v>
      </c>
      <c r="E64" s="173">
        <f t="shared" si="31"/>
        <v>3100</v>
      </c>
      <c r="F64" s="174">
        <f t="shared" si="31"/>
        <v>3100</v>
      </c>
      <c r="G64" s="454">
        <f t="shared" si="31"/>
        <v>3580</v>
      </c>
      <c r="H64" s="174">
        <f t="shared" si="31"/>
        <v>3100</v>
      </c>
      <c r="I64" s="246">
        <f t="shared" ref="I64:O64" si="32">+SUM(I60:I63)</f>
        <v>3580</v>
      </c>
      <c r="K64" s="693">
        <f t="shared" si="32"/>
        <v>3580</v>
      </c>
      <c r="L64" s="693">
        <f t="shared" si="32"/>
        <v>3580</v>
      </c>
      <c r="M64" s="693">
        <f t="shared" si="32"/>
        <v>3580</v>
      </c>
      <c r="N64" s="693">
        <f t="shared" ref="N64" si="33">+SUM(N60:N63)</f>
        <v>3580</v>
      </c>
      <c r="O64" s="693">
        <f t="shared" si="32"/>
        <v>3580</v>
      </c>
    </row>
    <row r="65" spans="1:15">
      <c r="G65" s="219"/>
    </row>
    <row r="66" spans="1:15">
      <c r="A66" s="456" t="s">
        <v>228</v>
      </c>
      <c r="B66" s="175"/>
      <c r="C66" s="176">
        <f t="shared" ref="C66:I66" si="34">+C25+C43+C57+C64</f>
        <v>92690.389451361116</v>
      </c>
      <c r="D66" s="176">
        <f t="shared" si="34"/>
        <v>93988.957535416688</v>
      </c>
      <c r="E66" s="176">
        <f t="shared" si="34"/>
        <v>98149.006574999992</v>
      </c>
      <c r="F66" s="177">
        <f t="shared" si="34"/>
        <v>96586.623775333341</v>
      </c>
      <c r="G66" s="455">
        <f t="shared" si="34"/>
        <v>100653.3805</v>
      </c>
      <c r="H66" s="177">
        <f t="shared" si="34"/>
        <v>97766.627437000003</v>
      </c>
      <c r="I66" s="178">
        <f t="shared" si="34"/>
        <v>100670</v>
      </c>
      <c r="J66" s="152"/>
      <c r="K66" s="694">
        <f t="shared" ref="K66:O66" si="35">+K25+K43+K57+K64</f>
        <v>105074</v>
      </c>
      <c r="L66" s="694">
        <f t="shared" si="35"/>
        <v>101848</v>
      </c>
      <c r="M66" s="694">
        <f t="shared" si="35"/>
        <v>100976</v>
      </c>
      <c r="N66" s="694">
        <f t="shared" si="35"/>
        <v>100104</v>
      </c>
      <c r="O66" s="694">
        <f t="shared" si="35"/>
        <v>103724</v>
      </c>
    </row>
    <row r="67" spans="1:15">
      <c r="A67" s="249" t="s">
        <v>347</v>
      </c>
      <c r="B67" s="249"/>
      <c r="C67" s="231"/>
      <c r="D67" s="231"/>
      <c r="E67" s="231"/>
      <c r="F67" s="231"/>
      <c r="G67" s="231"/>
      <c r="H67" s="231"/>
      <c r="I67" s="231">
        <f>+I66-G66</f>
        <v>16.619500000000698</v>
      </c>
      <c r="K67" s="231">
        <f>+K66-N66</f>
        <v>4970</v>
      </c>
      <c r="L67" s="231">
        <f>+L66-N66</f>
        <v>1744</v>
      </c>
      <c r="M67" s="231">
        <f>+M66-N66</f>
        <v>872</v>
      </c>
      <c r="N67" s="231"/>
      <c r="O67" s="231">
        <f>+O66-N66</f>
        <v>3620</v>
      </c>
    </row>
    <row r="68" spans="1:15">
      <c r="A68" s="249"/>
      <c r="B68" s="249"/>
      <c r="C68" s="231"/>
      <c r="D68" s="231"/>
      <c r="E68" s="231"/>
      <c r="F68" s="231"/>
      <c r="G68" s="231"/>
      <c r="H68" s="231"/>
      <c r="I68" s="445">
        <f>+I67/G66</f>
        <v>1.6511616318739237E-4</v>
      </c>
      <c r="J68" s="443"/>
      <c r="K68" s="696">
        <f>+K67/N66</f>
        <v>4.9648365699672341E-2</v>
      </c>
      <c r="L68" s="696">
        <f>+L67/N66</f>
        <v>1.7421881243506753E-2</v>
      </c>
      <c r="M68" s="696">
        <f>+M67/N66</f>
        <v>8.7109406217533766E-3</v>
      </c>
      <c r="N68" s="445"/>
      <c r="O68" s="696">
        <f>+O67/N66</f>
        <v>3.616239111324223E-2</v>
      </c>
    </row>
    <row r="69" spans="1:15" hidden="1">
      <c r="A69" s="161"/>
      <c r="B69" s="338"/>
      <c r="C69" s="338" t="s">
        <v>231</v>
      </c>
      <c r="D69" s="338"/>
      <c r="E69" s="338"/>
      <c r="F69" s="338"/>
      <c r="G69" s="338"/>
      <c r="H69" s="444"/>
    </row>
    <row r="70" spans="1:15" hidden="1">
      <c r="A70" s="516" t="s">
        <v>232</v>
      </c>
      <c r="B70" s="248"/>
      <c r="C70" s="155">
        <f>+C66-C23</f>
        <v>87649.275326361123</v>
      </c>
      <c r="D70" s="155">
        <f>+D66-D23</f>
        <v>88947.843410416681</v>
      </c>
      <c r="E70" s="155">
        <f>+E66-E23</f>
        <v>92275.566074999995</v>
      </c>
      <c r="F70" s="155">
        <f>+F66-F23</f>
        <v>91326.330775333336</v>
      </c>
      <c r="G70" s="338"/>
      <c r="H70" s="444"/>
    </row>
    <row r="71" spans="1:15" hidden="1">
      <c r="G71" s="247"/>
      <c r="I71" s="247"/>
      <c r="K71" s="247"/>
      <c r="L71" s="247"/>
      <c r="M71" s="247"/>
      <c r="N71" s="247"/>
      <c r="O71" s="247"/>
    </row>
  </sheetData>
  <mergeCells count="4">
    <mergeCell ref="A14:A16"/>
    <mergeCell ref="B2:F2"/>
    <mergeCell ref="J30:J35"/>
    <mergeCell ref="K1:O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xl/worksheets/sheet6.xml><?xml version="1.0" encoding="utf-8"?>
<worksheet xmlns="http://schemas.openxmlformats.org/spreadsheetml/2006/main" xmlns:r="http://schemas.openxmlformats.org/officeDocument/2006/relationships">
  <dimension ref="B2:G16"/>
  <sheetViews>
    <sheetView workbookViewId="0">
      <selection activeCell="D12" sqref="D12"/>
    </sheetView>
  </sheetViews>
  <sheetFormatPr defaultRowHeight="14.5"/>
  <cols>
    <col min="2" max="2" width="23.08984375" customWidth="1"/>
    <col min="3" max="5" width="11.54296875" customWidth="1"/>
    <col min="6" max="6" width="18.08984375" customWidth="1"/>
    <col min="7" max="7" width="12.6328125" customWidth="1"/>
  </cols>
  <sheetData>
    <row r="2" spans="2:7">
      <c r="B2" t="s">
        <v>499</v>
      </c>
    </row>
    <row r="3" spans="2:7" ht="58">
      <c r="C3" s="644" t="s">
        <v>509</v>
      </c>
      <c r="D3" s="644" t="s">
        <v>510</v>
      </c>
      <c r="E3" s="644"/>
      <c r="F3" s="645" t="s">
        <v>508</v>
      </c>
      <c r="G3" s="644" t="s">
        <v>506</v>
      </c>
    </row>
    <row r="4" spans="2:7">
      <c r="B4">
        <v>2018</v>
      </c>
      <c r="C4" s="646">
        <f>52894+15868</f>
        <v>68762</v>
      </c>
      <c r="D4" s="646">
        <f>52894+15868</f>
        <v>68762</v>
      </c>
      <c r="E4" s="646" t="s">
        <v>502</v>
      </c>
      <c r="F4" s="650">
        <f>52894+15868</f>
        <v>68762</v>
      </c>
      <c r="G4" s="647">
        <f>+F4-D4</f>
        <v>0</v>
      </c>
    </row>
    <row r="6" spans="2:7">
      <c r="B6" t="s">
        <v>500</v>
      </c>
      <c r="C6" s="647">
        <f>+ROUND(C4*(1+0.02),2)</f>
        <v>70137.240000000005</v>
      </c>
      <c r="D6" s="649">
        <v>71240</v>
      </c>
      <c r="E6" s="649" t="s">
        <v>503</v>
      </c>
      <c r="F6" s="650">
        <v>70137</v>
      </c>
      <c r="G6" s="647">
        <f>+F6-D6</f>
        <v>-1103</v>
      </c>
    </row>
    <row r="7" spans="2:7">
      <c r="C7" s="648">
        <f>(+C6-C4)/C4</f>
        <v>2.0000000000000077E-2</v>
      </c>
      <c r="D7" s="648">
        <f>(+D6-D4)/D4</f>
        <v>3.6037346208661759E-2</v>
      </c>
      <c r="E7" s="648"/>
    </row>
    <row r="8" spans="2:7">
      <c r="C8" s="648"/>
      <c r="D8" s="648"/>
      <c r="E8" s="648"/>
    </row>
    <row r="9" spans="2:7">
      <c r="B9" t="s">
        <v>501</v>
      </c>
      <c r="C9" s="647">
        <f>+ROUND(C6*(1+0.02),2)</f>
        <v>71539.98</v>
      </c>
      <c r="D9" s="649">
        <v>73783</v>
      </c>
      <c r="E9" s="649" t="s">
        <v>504</v>
      </c>
      <c r="F9" s="650">
        <v>71540</v>
      </c>
      <c r="G9" s="647">
        <f>+F9-D9</f>
        <v>-2243</v>
      </c>
    </row>
    <row r="10" spans="2:7">
      <c r="C10" s="648">
        <f>(+C9-C6)/C6</f>
        <v>1.9999931562747417E-2</v>
      </c>
      <c r="D10" s="648">
        <f>(+D9-D6)/D6</f>
        <v>3.5696238068500842E-2</v>
      </c>
      <c r="E10" s="648"/>
    </row>
    <row r="11" spans="2:7">
      <c r="C11" s="647"/>
      <c r="D11" s="647"/>
      <c r="E11" s="647"/>
    </row>
    <row r="12" spans="2:7">
      <c r="B12" t="s">
        <v>507</v>
      </c>
      <c r="C12" s="647">
        <f>+ROUND(C9*(1+0.01),2)</f>
        <v>72255.38</v>
      </c>
      <c r="D12" s="649">
        <v>75618</v>
      </c>
      <c r="E12" s="649" t="s">
        <v>505</v>
      </c>
      <c r="F12" s="651">
        <f>+F9*(1+0.01)</f>
        <v>72255.399999999994</v>
      </c>
      <c r="G12" s="651">
        <f>+D12-F9</f>
        <v>4078</v>
      </c>
    </row>
    <row r="13" spans="2:7">
      <c r="C13" s="648">
        <f>(+C12-C9)/C9</f>
        <v>1.0000002795639708E-2</v>
      </c>
      <c r="D13" s="648">
        <f>(+D12-D9)/D9</f>
        <v>2.4870227559193853E-2</v>
      </c>
      <c r="E13" s="648"/>
      <c r="F13" s="648">
        <f>(+F12-F9)/F9</f>
        <v>9.9999999999999187E-3</v>
      </c>
      <c r="G13" s="648">
        <f>+G12/F9</f>
        <v>5.7003075202683814E-2</v>
      </c>
    </row>
    <row r="16" spans="2:7">
      <c r="F16" s="652">
        <f>2000/F9</f>
        <v>2.7956388034665922E-2</v>
      </c>
    </row>
  </sheetData>
  <pageMargins left="0.7" right="0.7" top="0.75" bottom="0.75" header="0.3" footer="0.3"/>
  <pageSetup orientation="landscape" horizontalDpi="0" verticalDpi="0" r:id="rId1"/>
</worksheet>
</file>

<file path=xl/worksheets/sheet7.xml><?xml version="1.0" encoding="utf-8"?>
<worksheet xmlns="http://schemas.openxmlformats.org/spreadsheetml/2006/main" xmlns:r="http://schemas.openxmlformats.org/officeDocument/2006/relationships">
  <dimension ref="A1:R68"/>
  <sheetViews>
    <sheetView showGridLines="0" tabSelected="1" workbookViewId="0">
      <selection activeCell="L20" sqref="L20"/>
    </sheetView>
  </sheetViews>
  <sheetFormatPr defaultRowHeight="14.5"/>
  <cols>
    <col min="1" max="1" width="10" style="145" customWidth="1"/>
    <col min="2" max="2" width="36.1796875" style="145" customWidth="1"/>
    <col min="3" max="3" width="13.90625" style="219" customWidth="1"/>
    <col min="4" max="5" width="13.90625" style="145" customWidth="1"/>
    <col min="6" max="6" width="8.7265625" style="145"/>
    <col min="7" max="8" width="10.453125" style="145" bestFit="1" customWidth="1"/>
    <col min="9" max="16384" width="8.7265625" style="145"/>
  </cols>
  <sheetData>
    <row r="1" spans="1:18" ht="21">
      <c r="A1" s="759" t="s">
        <v>498</v>
      </c>
      <c r="B1" s="759"/>
      <c r="C1" s="759"/>
      <c r="D1" s="759"/>
      <c r="E1" s="759"/>
      <c r="F1" s="759"/>
      <c r="G1" s="759"/>
      <c r="H1" s="759"/>
      <c r="I1" s="369"/>
      <c r="J1" s="369"/>
    </row>
    <row r="2" spans="1:18" ht="21" hidden="1">
      <c r="B2" s="759"/>
      <c r="C2" s="759"/>
      <c r="D2" s="759"/>
      <c r="E2" s="369"/>
      <c r="F2" s="369"/>
      <c r="G2" s="369"/>
      <c r="H2" s="369"/>
      <c r="I2" s="369"/>
      <c r="J2" s="369"/>
    </row>
    <row r="3" spans="1:18" hidden="1">
      <c r="B3" s="220" t="s">
        <v>466</v>
      </c>
      <c r="C3" s="186"/>
      <c r="D3" s="199"/>
      <c r="E3" s="200"/>
    </row>
    <row r="4" spans="1:18" hidden="1">
      <c r="B4" s="199" t="s">
        <v>439</v>
      </c>
      <c r="C4" s="485">
        <f>20808*(1+'New Year-Full Year'!F$95)</f>
        <v>21224.16</v>
      </c>
      <c r="D4" s="487"/>
      <c r="E4" s="200"/>
    </row>
    <row r="5" spans="1:18" hidden="1">
      <c r="B5" s="199" t="s">
        <v>440</v>
      </c>
      <c r="C5" s="485">
        <f>45000*(1+'New Year-Full Year'!F$95)</f>
        <v>45900</v>
      </c>
      <c r="D5" s="487"/>
      <c r="E5" s="200"/>
    </row>
    <row r="6" spans="1:18" hidden="1">
      <c r="B6" s="199" t="s">
        <v>408</v>
      </c>
      <c r="C6" s="485">
        <f>(+C4+C5)*C25</f>
        <v>5134.9982399999999</v>
      </c>
      <c r="D6" s="487"/>
      <c r="E6" s="200"/>
    </row>
    <row r="7" spans="1:18" hidden="1">
      <c r="B7" s="199" t="s">
        <v>409</v>
      </c>
      <c r="C7" s="485">
        <f>+'New Year-Full Year'!Q126+'New Year-Full Year'!Q127+'New Year-Full Year'!Q128+'New Year-Full Year'!Q129+'New Year-Full Year'!Q130</f>
        <v>5080</v>
      </c>
      <c r="D7" s="487"/>
      <c r="E7" s="200"/>
    </row>
    <row r="8" spans="1:18" hidden="1">
      <c r="B8" s="199" t="s">
        <v>410</v>
      </c>
      <c r="C8" s="485">
        <f>+'New Year-Full Year'!Q176</f>
        <v>600</v>
      </c>
      <c r="D8" s="487"/>
      <c r="E8" s="200"/>
    </row>
    <row r="9" spans="1:18" ht="15" hidden="1" customHeight="1">
      <c r="B9" s="199" t="s">
        <v>172</v>
      </c>
      <c r="C9" s="189">
        <f>SUM(C4:C8)</f>
        <v>77939.158240000004</v>
      </c>
      <c r="D9" s="488"/>
      <c r="E9" s="200"/>
    </row>
    <row r="10" spans="1:18" ht="10" customHeight="1">
      <c r="B10" s="200"/>
      <c r="C10" s="164"/>
      <c r="D10" s="164"/>
      <c r="E10" s="345"/>
    </row>
    <row r="11" spans="1:18" ht="29.5" customHeight="1">
      <c r="C11" s="479" t="s">
        <v>487</v>
      </c>
      <c r="D11" s="239" t="s">
        <v>346</v>
      </c>
      <c r="E11" s="820" t="s">
        <v>494</v>
      </c>
      <c r="F11" s="760" t="s">
        <v>492</v>
      </c>
      <c r="G11" s="761"/>
      <c r="H11" s="761"/>
    </row>
    <row r="12" spans="1:18" ht="14.5" customHeight="1">
      <c r="A12" s="756" t="s">
        <v>493</v>
      </c>
      <c r="B12" s="491" t="s">
        <v>42</v>
      </c>
      <c r="C12" s="480">
        <f>+C14-C13</f>
        <v>40802</v>
      </c>
      <c r="D12" s="449">
        <f>+D14-D13</f>
        <v>40802</v>
      </c>
      <c r="E12" s="189">
        <f>+E14-E13</f>
        <v>42686.66</v>
      </c>
      <c r="F12" s="760"/>
      <c r="G12" s="761"/>
      <c r="H12" s="761"/>
    </row>
    <row r="13" spans="1:18" ht="15" thickBot="1">
      <c r="A13" s="757"/>
      <c r="B13" s="187" t="s">
        <v>170</v>
      </c>
      <c r="C13" s="194">
        <f>ROUND(+C14*0.3,0)</f>
        <v>17487</v>
      </c>
      <c r="D13" s="150">
        <f>ROUND(+D14*0.3,0)</f>
        <v>17487</v>
      </c>
      <c r="E13" s="483">
        <v>20000</v>
      </c>
      <c r="F13" s="760"/>
      <c r="G13" s="761"/>
      <c r="H13" s="761"/>
    </row>
    <row r="14" spans="1:18" ht="14.5" customHeight="1">
      <c r="A14" s="757"/>
      <c r="B14" s="187" t="s">
        <v>172</v>
      </c>
      <c r="C14" s="481">
        <v>58289</v>
      </c>
      <c r="D14" s="448">
        <v>58289</v>
      </c>
      <c r="E14" s="198">
        <f>+(62066*1.01)</f>
        <v>62686.66</v>
      </c>
      <c r="F14" s="760"/>
      <c r="G14" s="761"/>
      <c r="H14" s="761"/>
    </row>
    <row r="15" spans="1:18" ht="5.5" customHeight="1">
      <c r="A15" s="757"/>
      <c r="B15" s="199"/>
      <c r="C15" s="192"/>
      <c r="D15" s="149"/>
      <c r="E15" s="192"/>
      <c r="H15" s="145" t="s">
        <v>490</v>
      </c>
      <c r="I15" s="200"/>
      <c r="J15" s="200"/>
      <c r="K15" s="200"/>
      <c r="L15" s="200"/>
      <c r="M15" s="200"/>
      <c r="N15" s="200"/>
      <c r="O15" s="200"/>
      <c r="P15" s="200"/>
      <c r="Q15" s="200"/>
      <c r="R15" s="200"/>
    </row>
    <row r="16" spans="1:18">
      <c r="A16" s="757"/>
      <c r="B16" s="187" t="s">
        <v>186</v>
      </c>
      <c r="C16" s="482">
        <v>1</v>
      </c>
      <c r="D16" s="446">
        <v>0.5</v>
      </c>
      <c r="E16" s="202">
        <v>1</v>
      </c>
      <c r="I16" s="200"/>
      <c r="J16" s="200"/>
      <c r="K16" s="200"/>
      <c r="L16" s="200"/>
      <c r="M16" s="200"/>
      <c r="N16" s="200"/>
      <c r="O16" s="200"/>
      <c r="P16" s="200"/>
      <c r="Q16" s="200"/>
      <c r="R16" s="200"/>
    </row>
    <row r="17" spans="1:18" ht="14.5" hidden="1" customHeight="1">
      <c r="A17" s="757"/>
      <c r="B17" s="199"/>
      <c r="C17" s="192"/>
      <c r="D17" s="149"/>
      <c r="E17" s="192"/>
      <c r="I17" s="200"/>
      <c r="J17" s="200"/>
      <c r="K17" s="200"/>
      <c r="L17" s="200"/>
      <c r="M17" s="200"/>
      <c r="N17" s="200"/>
      <c r="O17" s="200"/>
      <c r="P17" s="200"/>
      <c r="Q17" s="200"/>
      <c r="R17" s="200"/>
    </row>
    <row r="18" spans="1:18">
      <c r="A18" s="757"/>
      <c r="B18" s="187" t="s">
        <v>204</v>
      </c>
      <c r="C18" s="461">
        <v>0</v>
      </c>
      <c r="D18" s="466">
        <v>0</v>
      </c>
      <c r="E18" s="205">
        <v>0</v>
      </c>
      <c r="I18" s="200"/>
      <c r="J18" s="200"/>
      <c r="K18" s="200"/>
      <c r="L18" s="200"/>
      <c r="M18" s="200"/>
      <c r="N18" s="200"/>
      <c r="O18" s="200"/>
      <c r="P18" s="200"/>
      <c r="Q18" s="200"/>
      <c r="R18" s="200"/>
    </row>
    <row r="19" spans="1:18">
      <c r="A19" s="757"/>
      <c r="B19" s="206" t="s">
        <v>202</v>
      </c>
      <c r="C19" s="451">
        <f>ROUND(+C14*(1+C18)*C16,0)</f>
        <v>58289</v>
      </c>
      <c r="D19" s="154">
        <f>ROUND(+D14*(1+D18)*D16,0)</f>
        <v>29145</v>
      </c>
      <c r="E19" s="634">
        <f>ROUND(+E14*(1+E18)*E16,0)</f>
        <v>62687</v>
      </c>
      <c r="I19" s="200"/>
      <c r="J19" s="200"/>
      <c r="K19" s="200"/>
      <c r="L19" s="200"/>
      <c r="M19" s="128"/>
      <c r="N19" s="229"/>
      <c r="O19" s="200"/>
      <c r="P19" s="200"/>
      <c r="Q19" s="200"/>
      <c r="R19" s="200"/>
    </row>
    <row r="20" spans="1:18" ht="10" customHeight="1">
      <c r="A20" s="757"/>
      <c r="B20" s="762" t="s">
        <v>489</v>
      </c>
      <c r="C20" s="192"/>
      <c r="D20" s="149"/>
      <c r="E20" s="192"/>
      <c r="I20" s="200"/>
      <c r="J20" s="200"/>
      <c r="K20" s="200"/>
      <c r="L20" s="200"/>
      <c r="M20" s="128"/>
      <c r="N20" s="200"/>
      <c r="O20" s="200"/>
      <c r="P20" s="200"/>
      <c r="Q20" s="200"/>
      <c r="R20" s="200"/>
    </row>
    <row r="21" spans="1:18">
      <c r="A21" s="757"/>
      <c r="B21" s="762"/>
      <c r="C21" s="211">
        <f>+C38</f>
        <v>0</v>
      </c>
      <c r="D21" s="144">
        <f>+D38</f>
        <v>0</v>
      </c>
      <c r="E21" s="211">
        <f>+E38</f>
        <v>2400</v>
      </c>
      <c r="I21" s="200"/>
      <c r="J21" s="200"/>
      <c r="K21" s="200"/>
      <c r="L21" s="200"/>
      <c r="M21" s="129"/>
      <c r="N21" s="200"/>
      <c r="O21" s="200"/>
      <c r="P21" s="200"/>
      <c r="Q21" s="200"/>
      <c r="R21" s="200"/>
    </row>
    <row r="22" spans="1:18" ht="8.5" customHeight="1">
      <c r="A22" s="757"/>
      <c r="B22" s="762"/>
      <c r="C22" s="192"/>
      <c r="D22" s="149"/>
      <c r="E22" s="192"/>
      <c r="I22" s="249"/>
      <c r="J22" s="249"/>
      <c r="K22" s="200"/>
      <c r="L22" s="200"/>
      <c r="M22" s="633"/>
      <c r="N22" s="200"/>
      <c r="O22" s="200"/>
      <c r="P22" s="200"/>
      <c r="Q22" s="200"/>
      <c r="R22" s="200"/>
    </row>
    <row r="23" spans="1:18">
      <c r="A23" s="757"/>
      <c r="B23" s="206" t="s">
        <v>202</v>
      </c>
      <c r="C23" s="451">
        <f>+C19+C21</f>
        <v>58289</v>
      </c>
      <c r="D23" s="154">
        <f>+D19+D21</f>
        <v>29145</v>
      </c>
      <c r="E23" s="634">
        <f>+E19+E21</f>
        <v>65087</v>
      </c>
      <c r="I23" s="200"/>
      <c r="J23" s="200"/>
      <c r="K23" s="200"/>
      <c r="L23" s="200"/>
      <c r="M23" s="223"/>
      <c r="N23" s="200"/>
      <c r="O23" s="200"/>
      <c r="P23" s="200"/>
      <c r="Q23" s="200"/>
      <c r="R23" s="200"/>
    </row>
    <row r="24" spans="1:18" ht="6.5" customHeight="1">
      <c r="A24" s="757"/>
      <c r="B24" s="199"/>
      <c r="C24" s="192"/>
      <c r="D24" s="149"/>
      <c r="E24" s="192"/>
      <c r="I24" s="200"/>
      <c r="J24" s="200"/>
      <c r="K24" s="200"/>
      <c r="L24" s="200"/>
      <c r="M24" s="200"/>
      <c r="N24" s="200"/>
      <c r="O24" s="200"/>
      <c r="P24" s="200"/>
      <c r="Q24" s="200"/>
      <c r="R24" s="200"/>
    </row>
    <row r="25" spans="1:18">
      <c r="A25" s="757"/>
      <c r="B25" s="199" t="s">
        <v>497</v>
      </c>
      <c r="C25" s="213">
        <v>7.6499999999999999E-2</v>
      </c>
      <c r="D25" s="143">
        <v>7.6499999999999999E-2</v>
      </c>
      <c r="E25" s="213">
        <v>7.6499999999999999E-2</v>
      </c>
      <c r="F25" s="145" t="s">
        <v>496</v>
      </c>
      <c r="G25" s="602"/>
      <c r="I25" s="200"/>
      <c r="J25" s="200"/>
      <c r="K25" s="200"/>
      <c r="L25" s="200"/>
      <c r="M25" s="128"/>
      <c r="N25" s="200"/>
      <c r="O25" s="200"/>
      <c r="P25" s="200"/>
      <c r="Q25" s="200"/>
      <c r="R25" s="200"/>
    </row>
    <row r="26" spans="1:18" ht="3.5" customHeight="1">
      <c r="A26" s="757"/>
      <c r="B26" s="199"/>
      <c r="C26" s="192"/>
      <c r="D26" s="149"/>
      <c r="E26" s="192"/>
      <c r="I26" s="249"/>
      <c r="J26" s="249"/>
      <c r="K26" s="200"/>
      <c r="L26" s="200"/>
      <c r="M26" s="633"/>
      <c r="N26" s="200"/>
      <c r="O26" s="200"/>
      <c r="P26" s="200"/>
      <c r="Q26" s="200"/>
      <c r="R26" s="200"/>
    </row>
    <row r="27" spans="1:18" ht="14.5" hidden="1" customHeight="1">
      <c r="A27" s="757"/>
      <c r="B27" s="199"/>
      <c r="C27" s="192"/>
      <c r="D27" s="149"/>
      <c r="E27" s="192"/>
      <c r="I27" s="249"/>
      <c r="J27" s="249"/>
      <c r="K27" s="231"/>
      <c r="L27" s="200"/>
      <c r="M27" s="223"/>
      <c r="N27" s="200"/>
      <c r="O27" s="200"/>
      <c r="P27" s="200"/>
      <c r="Q27" s="200"/>
      <c r="R27" s="200"/>
    </row>
    <row r="28" spans="1:18">
      <c r="A28" s="757"/>
      <c r="B28" s="199" t="s">
        <v>381</v>
      </c>
      <c r="C28" s="211">
        <f>ROUND(+C23*C25,0)</f>
        <v>4459</v>
      </c>
      <c r="D28" s="144">
        <f>ROUND(+D23*D25,0)</f>
        <v>2230</v>
      </c>
      <c r="E28" s="211">
        <f t="shared" ref="E28" si="0">+E23*E25</f>
        <v>4979.1554999999998</v>
      </c>
      <c r="F28" s="152"/>
      <c r="I28" s="200"/>
      <c r="J28" s="200"/>
      <c r="K28" s="200"/>
      <c r="L28" s="200"/>
      <c r="M28" s="200"/>
      <c r="N28" s="200"/>
      <c r="O28" s="200"/>
      <c r="P28" s="200"/>
      <c r="Q28" s="200"/>
      <c r="R28" s="200"/>
    </row>
    <row r="29" spans="1:18" ht="14.5" hidden="1" customHeight="1">
      <c r="A29" s="757"/>
      <c r="B29" s="199"/>
      <c r="C29" s="192"/>
      <c r="D29" s="149"/>
      <c r="E29" s="192"/>
      <c r="I29" s="200"/>
      <c r="J29" s="200"/>
      <c r="K29" s="200"/>
      <c r="L29" s="200"/>
      <c r="M29" s="200"/>
      <c r="N29" s="200"/>
      <c r="O29" s="200"/>
      <c r="P29" s="200"/>
      <c r="Q29" s="200"/>
      <c r="R29" s="200"/>
    </row>
    <row r="30" spans="1:18">
      <c r="A30" s="758"/>
      <c r="B30" s="214" t="s">
        <v>205</v>
      </c>
      <c r="C30" s="218">
        <f t="shared" ref="C30" si="1">+C23+C28</f>
        <v>62748</v>
      </c>
      <c r="D30" s="157">
        <f t="shared" ref="D30:E30" si="2">+D23+D28</f>
        <v>31375</v>
      </c>
      <c r="E30" s="218">
        <f t="shared" si="2"/>
        <v>70066.155499999993</v>
      </c>
      <c r="I30" s="200"/>
      <c r="J30" s="200"/>
      <c r="K30" s="200"/>
      <c r="L30" s="200"/>
      <c r="M30" s="200"/>
      <c r="N30" s="200"/>
      <c r="O30" s="200"/>
      <c r="P30" s="200"/>
      <c r="Q30" s="200"/>
      <c r="R30" s="200"/>
    </row>
    <row r="31" spans="1:18" ht="8.5" customHeight="1">
      <c r="B31" s="219"/>
      <c r="D31" s="219"/>
      <c r="E31" s="219"/>
      <c r="I31" s="200"/>
      <c r="J31" s="200"/>
      <c r="K31" s="200"/>
      <c r="L31" s="200"/>
      <c r="M31" s="200"/>
      <c r="N31" s="200"/>
      <c r="O31" s="200"/>
      <c r="P31" s="200"/>
      <c r="Q31" s="200"/>
      <c r="R31" s="200"/>
    </row>
    <row r="32" spans="1:18">
      <c r="A32" s="756" t="s">
        <v>209</v>
      </c>
      <c r="B32" s="182" t="s">
        <v>206</v>
      </c>
      <c r="C32" s="639">
        <f>ROUND(22025*C16,0)</f>
        <v>22025</v>
      </c>
      <c r="D32" s="640">
        <f>ROUND(C32*D$16,0)</f>
        <v>11013</v>
      </c>
      <c r="E32" s="641">
        <v>6000</v>
      </c>
      <c r="I32" s="249"/>
      <c r="J32" s="200"/>
      <c r="K32" s="200"/>
      <c r="L32" s="200"/>
      <c r="M32" s="200"/>
      <c r="N32" s="200"/>
      <c r="O32" s="200"/>
      <c r="P32" s="200"/>
      <c r="Q32" s="200"/>
      <c r="R32" s="200"/>
    </row>
    <row r="33" spans="1:18">
      <c r="A33" s="757"/>
      <c r="B33" s="199" t="s">
        <v>234</v>
      </c>
      <c r="C33" s="192"/>
      <c r="D33" s="140"/>
      <c r="E33" s="457">
        <v>0</v>
      </c>
      <c r="I33" s="249"/>
      <c r="J33" s="200"/>
      <c r="K33" s="200"/>
      <c r="L33" s="200"/>
      <c r="M33" s="200"/>
      <c r="N33" s="200"/>
      <c r="O33" s="200"/>
      <c r="P33" s="200"/>
      <c r="Q33" s="200"/>
      <c r="R33" s="200"/>
    </row>
    <row r="34" spans="1:18">
      <c r="A34" s="757"/>
      <c r="B34" s="207" t="s">
        <v>209</v>
      </c>
      <c r="C34" s="192"/>
      <c r="D34" s="141"/>
      <c r="E34" s="458">
        <f>+E32+E33</f>
        <v>6000</v>
      </c>
      <c r="I34" s="249"/>
      <c r="J34" s="200"/>
      <c r="K34" s="200"/>
      <c r="L34" s="200"/>
      <c r="M34" s="200"/>
      <c r="N34" s="200"/>
      <c r="O34" s="200"/>
      <c r="P34" s="200"/>
      <c r="Q34" s="200"/>
      <c r="R34" s="200"/>
    </row>
    <row r="35" spans="1:18" ht="6.5" customHeight="1">
      <c r="A35" s="757"/>
      <c r="B35" s="199"/>
      <c r="C35" s="192"/>
      <c r="D35" s="153"/>
      <c r="E35" s="192"/>
      <c r="I35" s="249"/>
      <c r="J35" s="200"/>
      <c r="K35" s="200"/>
      <c r="L35" s="200"/>
      <c r="M35" s="200"/>
      <c r="N35" s="200"/>
      <c r="O35" s="200"/>
      <c r="P35" s="200"/>
      <c r="Q35" s="200"/>
      <c r="R35" s="200"/>
    </row>
    <row r="36" spans="1:18">
      <c r="A36" s="757"/>
      <c r="B36" s="199" t="s">
        <v>414</v>
      </c>
      <c r="C36" s="192"/>
      <c r="D36" s="140"/>
      <c r="E36" s="457">
        <v>1800</v>
      </c>
      <c r="I36" s="249"/>
      <c r="J36" s="200"/>
      <c r="K36" s="200"/>
      <c r="L36" s="200"/>
      <c r="M36" s="200"/>
      <c r="N36" s="200"/>
      <c r="O36" s="200"/>
      <c r="P36" s="200"/>
      <c r="Q36" s="200"/>
      <c r="R36" s="200"/>
    </row>
    <row r="37" spans="1:18">
      <c r="A37" s="757"/>
      <c r="B37" s="199" t="s">
        <v>207</v>
      </c>
      <c r="C37" s="192"/>
      <c r="D37" s="498"/>
      <c r="E37" s="499">
        <v>0.25</v>
      </c>
      <c r="F37" s="152"/>
      <c r="I37" s="249"/>
      <c r="J37" s="200"/>
      <c r="K37" s="200"/>
      <c r="L37" s="200"/>
      <c r="M37" s="200"/>
      <c r="N37" s="200"/>
      <c r="O37" s="200"/>
      <c r="P37" s="200"/>
      <c r="Q37" s="200"/>
      <c r="R37" s="200"/>
    </row>
    <row r="38" spans="1:18">
      <c r="A38" s="757"/>
      <c r="B38" s="207" t="s">
        <v>488</v>
      </c>
      <c r="C38" s="503">
        <v>0</v>
      </c>
      <c r="D38" s="632">
        <v>0</v>
      </c>
      <c r="E38" s="458">
        <f>ROUND(+E36/(1-E37),0)</f>
        <v>2400</v>
      </c>
      <c r="F38" s="152"/>
      <c r="I38" s="249"/>
      <c r="J38" s="200"/>
      <c r="K38" s="200"/>
      <c r="L38" s="200"/>
      <c r="M38" s="200"/>
      <c r="N38" s="200"/>
      <c r="O38" s="200"/>
      <c r="P38" s="200"/>
      <c r="Q38" s="200"/>
      <c r="R38" s="200"/>
    </row>
    <row r="39" spans="1:18">
      <c r="A39" s="758"/>
      <c r="B39" s="214" t="s">
        <v>210</v>
      </c>
      <c r="C39" s="636">
        <v>0</v>
      </c>
      <c r="D39" s="635">
        <v>0</v>
      </c>
      <c r="E39" s="218">
        <f>+E34-E36</f>
        <v>4200</v>
      </c>
      <c r="I39" s="249"/>
      <c r="J39" s="200"/>
      <c r="K39" s="200"/>
      <c r="L39" s="200"/>
      <c r="M39" s="200"/>
      <c r="N39" s="200"/>
      <c r="O39" s="200"/>
      <c r="P39" s="200"/>
      <c r="Q39" s="200"/>
      <c r="R39" s="200"/>
    </row>
    <row r="40" spans="1:18" ht="7" customHeight="1">
      <c r="B40" s="219"/>
      <c r="D40" s="219"/>
      <c r="E40" s="219"/>
      <c r="I40" s="200"/>
      <c r="J40" s="200"/>
      <c r="K40" s="200"/>
      <c r="L40" s="200"/>
      <c r="M40" s="200"/>
      <c r="N40" s="200"/>
      <c r="O40" s="200"/>
      <c r="P40" s="200"/>
      <c r="Q40" s="200"/>
      <c r="R40" s="200"/>
    </row>
    <row r="41" spans="1:18">
      <c r="A41" s="756" t="s">
        <v>175</v>
      </c>
      <c r="B41" s="220" t="s">
        <v>407</v>
      </c>
      <c r="C41" s="484">
        <v>0.1</v>
      </c>
      <c r="D41" s="464">
        <v>0.1</v>
      </c>
      <c r="E41" s="459">
        <v>0.1</v>
      </c>
      <c r="I41" s="200"/>
      <c r="J41" s="200"/>
      <c r="K41" s="200"/>
      <c r="L41" s="200"/>
      <c r="M41" s="200"/>
      <c r="N41" s="200"/>
      <c r="O41" s="200"/>
      <c r="P41" s="200"/>
      <c r="Q41" s="200"/>
      <c r="R41" s="200"/>
    </row>
    <row r="42" spans="1:18">
      <c r="A42" s="757"/>
      <c r="B42" s="199" t="s">
        <v>215</v>
      </c>
      <c r="C42" s="189">
        <f>+C30</f>
        <v>62748</v>
      </c>
      <c r="D42" s="148">
        <f>+D30</f>
        <v>31375</v>
      </c>
      <c r="E42" s="485">
        <f>+E30</f>
        <v>70066.155499999993</v>
      </c>
      <c r="I42" s="200"/>
      <c r="J42" s="200"/>
      <c r="K42" s="200"/>
      <c r="L42" s="200"/>
      <c r="M42" s="200"/>
      <c r="N42" s="200"/>
      <c r="O42" s="200"/>
      <c r="P42" s="200"/>
      <c r="Q42" s="200"/>
      <c r="R42" s="200"/>
    </row>
    <row r="43" spans="1:18">
      <c r="A43" s="757"/>
      <c r="B43" s="199" t="s">
        <v>175</v>
      </c>
      <c r="C43" s="189">
        <f>ROUND(+C42*C41,0)</f>
        <v>6275</v>
      </c>
      <c r="D43" s="148">
        <f>ROUND(+D42*D41,0)</f>
        <v>3138</v>
      </c>
      <c r="E43" s="485">
        <f>ROUND(+E42*E41,0)</f>
        <v>7007</v>
      </c>
    </row>
    <row r="44" spans="1:18">
      <c r="A44" s="757"/>
      <c r="B44" s="199" t="s">
        <v>212</v>
      </c>
      <c r="C44" s="189">
        <f>+C39</f>
        <v>0</v>
      </c>
      <c r="D44" s="148">
        <f>+D39</f>
        <v>0</v>
      </c>
      <c r="E44" s="485">
        <f>+E39</f>
        <v>4200</v>
      </c>
    </row>
    <row r="45" spans="1:18">
      <c r="A45" s="757"/>
      <c r="B45" s="199" t="s">
        <v>416</v>
      </c>
      <c r="C45" s="189"/>
      <c r="D45" s="148"/>
      <c r="E45" s="485">
        <f>+E44+E43</f>
        <v>11207</v>
      </c>
    </row>
    <row r="46" spans="1:18">
      <c r="A46" s="757"/>
      <c r="B46" s="199" t="s">
        <v>218</v>
      </c>
      <c r="C46" s="189"/>
      <c r="D46" s="148"/>
      <c r="E46" s="818">
        <f>+E45/E30</f>
        <v>0.15994883578277677</v>
      </c>
    </row>
    <row r="47" spans="1:18">
      <c r="A47" s="757"/>
      <c r="B47" s="199" t="s">
        <v>415</v>
      </c>
      <c r="C47" s="189"/>
      <c r="D47" s="148"/>
      <c r="E47" s="819">
        <v>0.16</v>
      </c>
    </row>
    <row r="48" spans="1:18">
      <c r="A48" s="758"/>
      <c r="B48" s="214" t="s">
        <v>213</v>
      </c>
      <c r="C48" s="218">
        <f t="shared" ref="C48" si="3">+C43+C44</f>
        <v>6275</v>
      </c>
      <c r="D48" s="157">
        <f t="shared" ref="D48" si="4">+D43+D44</f>
        <v>3138</v>
      </c>
      <c r="E48" s="454">
        <f>ROUND(+E47*E30,0)</f>
        <v>11211</v>
      </c>
    </row>
    <row r="49" spans="1:8" hidden="1">
      <c r="B49" s="215" t="s">
        <v>218</v>
      </c>
      <c r="C49" s="460">
        <f>+C48/C42</f>
        <v>0.10000318735258494</v>
      </c>
      <c r="D49" s="465">
        <f>+D48/D42</f>
        <v>0.10001593625498008</v>
      </c>
      <c r="E49" s="232"/>
    </row>
    <row r="50" spans="1:8" ht="7" customHeight="1">
      <c r="B50" s="219"/>
      <c r="D50" s="219"/>
      <c r="E50" s="219"/>
    </row>
    <row r="51" spans="1:8">
      <c r="A51" s="756" t="s">
        <v>176</v>
      </c>
      <c r="B51" s="182" t="s">
        <v>178</v>
      </c>
      <c r="C51" s="484">
        <v>1.4999999999999999E-2</v>
      </c>
      <c r="D51" s="464">
        <v>1.4999999999999999E-2</v>
      </c>
      <c r="E51" s="484">
        <v>1.4999999999999999E-2</v>
      </c>
    </row>
    <row r="52" spans="1:8">
      <c r="A52" s="757"/>
      <c r="B52" s="199" t="s">
        <v>179</v>
      </c>
      <c r="C52" s="461">
        <v>7.0000000000000001E-3</v>
      </c>
      <c r="D52" s="466">
        <v>7.0000000000000001E-3</v>
      </c>
      <c r="E52" s="461">
        <v>7.0000000000000001E-3</v>
      </c>
    </row>
    <row r="53" spans="1:8">
      <c r="A53" s="757"/>
      <c r="B53" s="199" t="s">
        <v>389</v>
      </c>
      <c r="C53" s="461">
        <v>7.0000000000000001E-3</v>
      </c>
      <c r="D53" s="466">
        <v>7.0000000000000001E-3</v>
      </c>
      <c r="E53" s="461">
        <v>0</v>
      </c>
      <c r="F53" s="145" t="s">
        <v>495</v>
      </c>
    </row>
    <row r="54" spans="1:8">
      <c r="A54" s="757"/>
      <c r="B54" s="199" t="s">
        <v>220</v>
      </c>
      <c r="C54" s="462">
        <f t="shared" ref="C54" si="5">+C51+C52+C53</f>
        <v>2.8999999999999998E-2</v>
      </c>
      <c r="D54" s="467">
        <f t="shared" ref="D54:E54" si="6">+D51+D52+D53</f>
        <v>2.8999999999999998E-2</v>
      </c>
      <c r="E54" s="462">
        <f t="shared" si="6"/>
        <v>2.1999999999999999E-2</v>
      </c>
    </row>
    <row r="55" spans="1:8">
      <c r="A55" s="757"/>
      <c r="B55" s="199" t="s">
        <v>215</v>
      </c>
      <c r="C55" s="189">
        <f>+C30</f>
        <v>62748</v>
      </c>
      <c r="D55" s="148">
        <f>+D30</f>
        <v>31375</v>
      </c>
      <c r="E55" s="189">
        <f>+E30</f>
        <v>70066.155499999993</v>
      </c>
    </row>
    <row r="56" spans="1:8">
      <c r="A56" s="758"/>
      <c r="B56" s="167" t="s">
        <v>219</v>
      </c>
      <c r="C56" s="218">
        <f>ROUND(+C55*C54,0)</f>
        <v>1820</v>
      </c>
      <c r="D56" s="157">
        <f>ROUND(+D55*D54,0)</f>
        <v>910</v>
      </c>
      <c r="E56" s="637">
        <f>ROUND(+E55*E54,0)</f>
        <v>1541</v>
      </c>
    </row>
    <row r="57" spans="1:8" ht="7.5" customHeight="1"/>
    <row r="58" spans="1:8">
      <c r="A58" s="756" t="s">
        <v>107</v>
      </c>
      <c r="B58" s="159" t="s">
        <v>226</v>
      </c>
      <c r="C58" s="642">
        <v>1200</v>
      </c>
      <c r="D58" s="643">
        <f>ROUND(C58*D$16,0)</f>
        <v>600</v>
      </c>
      <c r="E58" s="642">
        <v>1200</v>
      </c>
    </row>
    <row r="59" spans="1:8">
      <c r="A59" s="757"/>
      <c r="B59" s="161" t="s">
        <v>491</v>
      </c>
      <c r="C59" s="453">
        <v>750</v>
      </c>
      <c r="D59" s="469">
        <f>ROUND(C59*D$16,0)</f>
        <v>375</v>
      </c>
      <c r="E59" s="453">
        <v>1300</v>
      </c>
    </row>
    <row r="60" spans="1:8">
      <c r="A60" s="757"/>
      <c r="B60" s="161" t="s">
        <v>107</v>
      </c>
      <c r="C60" s="453">
        <v>600</v>
      </c>
      <c r="D60" s="469">
        <f>ROUND(C60*D$16,0)</f>
        <v>300</v>
      </c>
      <c r="E60" s="453">
        <v>600</v>
      </c>
    </row>
    <row r="61" spans="1:8">
      <c r="A61" s="757"/>
      <c r="B61" s="199" t="s">
        <v>243</v>
      </c>
      <c r="C61" s="453">
        <v>480</v>
      </c>
      <c r="D61" s="469">
        <f>ROUND(C61*D$16,0)</f>
        <v>240</v>
      </c>
      <c r="E61" s="453">
        <v>480</v>
      </c>
    </row>
    <row r="62" spans="1:8">
      <c r="A62" s="757"/>
      <c r="B62" s="215" t="s">
        <v>375</v>
      </c>
      <c r="C62" s="483">
        <v>300</v>
      </c>
      <c r="D62" s="463">
        <v>300</v>
      </c>
      <c r="E62" s="483"/>
    </row>
    <row r="63" spans="1:8">
      <c r="A63" s="758"/>
      <c r="B63" s="172" t="s">
        <v>229</v>
      </c>
      <c r="C63" s="454">
        <f>+SUM(C58:C62)</f>
        <v>3330</v>
      </c>
      <c r="D63" s="246">
        <f>+SUM(D58:D62)</f>
        <v>1815</v>
      </c>
      <c r="E63" s="638">
        <f>+SUM(E58:E61)</f>
        <v>3580</v>
      </c>
      <c r="H63" s="152"/>
    </row>
    <row r="64" spans="1:8" ht="8" customHeight="1"/>
    <row r="65" spans="2:8">
      <c r="B65" s="175" t="s">
        <v>405</v>
      </c>
      <c r="C65" s="455">
        <f>+C30+C32+C48+C56+C63</f>
        <v>96198</v>
      </c>
      <c r="D65" s="178">
        <f>+D30+D32+D48+D56+D63</f>
        <v>48251</v>
      </c>
      <c r="E65" s="178">
        <f>+E30+E48+E56+E63</f>
        <v>86398.155499999993</v>
      </c>
      <c r="F65" s="152"/>
      <c r="G65" s="493"/>
      <c r="H65" s="493"/>
    </row>
    <row r="66" spans="2:8" ht="7.5" customHeight="1">
      <c r="B66" s="249"/>
      <c r="C66" s="231"/>
      <c r="D66" s="231"/>
      <c r="E66" s="231"/>
    </row>
    <row r="67" spans="2:8" hidden="1">
      <c r="B67" s="489" t="s">
        <v>406</v>
      </c>
      <c r="C67" s="490">
        <f>+C9-C65</f>
        <v>-18258.841759999996</v>
      </c>
      <c r="D67" s="338"/>
      <c r="E67" s="338"/>
    </row>
    <row r="68" spans="2:8" hidden="1">
      <c r="C68" s="486"/>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O80"/>
  <sheetViews>
    <sheetView showGridLines="0" topLeftCell="A45" workbookViewId="0">
      <selection activeCell="M63" sqref="M63"/>
    </sheetView>
  </sheetViews>
  <sheetFormatPr defaultRowHeight="14.5"/>
  <cols>
    <col min="1" max="1" width="7.453125" style="145" customWidth="1"/>
    <col min="2" max="2" width="39.26953125" style="145" customWidth="1"/>
    <col min="3" max="3" width="9.54296875" style="145" customWidth="1"/>
    <col min="4" max="4" width="9.36328125" style="145" customWidth="1"/>
    <col min="5" max="5" width="1.7265625" style="145" customWidth="1"/>
    <col min="6" max="6" width="4" style="145" customWidth="1"/>
    <col min="7" max="7" width="4.54296875" style="145" customWidth="1"/>
    <col min="8" max="8" width="4" style="145" customWidth="1"/>
    <col min="9" max="9" width="4.54296875" style="145" customWidth="1"/>
    <col min="10" max="10" width="4" style="145" customWidth="1"/>
    <col min="11" max="11" width="4.54296875" style="145" customWidth="1"/>
    <col min="12" max="12" width="4" style="145" customWidth="1"/>
    <col min="13" max="13" width="4.54296875" style="145" customWidth="1"/>
    <col min="14" max="14" width="4.26953125" style="145" customWidth="1"/>
    <col min="15" max="16384" width="8.7265625" style="145"/>
  </cols>
  <sheetData>
    <row r="1" spans="1:14" ht="21">
      <c r="A1" s="759" t="s">
        <v>419</v>
      </c>
      <c r="B1" s="759"/>
      <c r="C1" s="759"/>
      <c r="D1" s="759"/>
      <c r="E1" s="759"/>
      <c r="F1" s="759"/>
      <c r="G1" s="759"/>
      <c r="H1" s="759"/>
      <c r="I1" s="759"/>
      <c r="J1" s="759"/>
      <c r="K1" s="759"/>
      <c r="L1" s="759"/>
      <c r="M1" s="759"/>
      <c r="N1" s="759"/>
    </row>
    <row r="2" spans="1:14" ht="21">
      <c r="A2" s="759" t="s">
        <v>346</v>
      </c>
      <c r="B2" s="759"/>
      <c r="C2" s="759"/>
      <c r="D2" s="759"/>
      <c r="E2" s="759"/>
      <c r="F2" s="759"/>
      <c r="G2" s="759"/>
      <c r="H2" s="759"/>
      <c r="I2" s="759"/>
      <c r="J2" s="759"/>
      <c r="K2" s="759"/>
      <c r="L2" s="759"/>
      <c r="M2" s="759"/>
      <c r="N2" s="759"/>
    </row>
    <row r="3" spans="1:14" ht="15" thickBot="1"/>
    <row r="4" spans="1:14" ht="32.5" customHeight="1" thickTop="1" thickBot="1">
      <c r="C4" s="556" t="s">
        <v>203</v>
      </c>
      <c r="D4" s="557" t="s">
        <v>346</v>
      </c>
      <c r="E4" s="772" t="s">
        <v>418</v>
      </c>
      <c r="F4" s="772"/>
      <c r="G4" s="772"/>
      <c r="H4" s="772"/>
      <c r="I4" s="772"/>
      <c r="J4" s="772"/>
      <c r="K4" s="772"/>
      <c r="L4" s="772"/>
      <c r="M4" s="772"/>
      <c r="N4" s="773"/>
    </row>
    <row r="5" spans="1:14" ht="15" thickTop="1">
      <c r="A5" s="492"/>
      <c r="B5" s="352"/>
      <c r="C5" s="562"/>
      <c r="D5" s="558"/>
      <c r="E5" s="347"/>
      <c r="F5" s="360">
        <v>4</v>
      </c>
      <c r="G5" s="338" t="s">
        <v>258</v>
      </c>
      <c r="H5" s="360">
        <v>4</v>
      </c>
      <c r="I5" s="338" t="s">
        <v>261</v>
      </c>
      <c r="J5" s="360">
        <v>4</v>
      </c>
      <c r="K5" s="338" t="s">
        <v>256</v>
      </c>
      <c r="L5" s="360">
        <v>4</v>
      </c>
      <c r="M5" s="338" t="s">
        <v>263</v>
      </c>
      <c r="N5" s="342"/>
    </row>
    <row r="6" spans="1:14">
      <c r="A6" s="359"/>
      <c r="B6" s="338"/>
      <c r="C6" s="563"/>
      <c r="D6" s="558"/>
      <c r="E6" s="347"/>
      <c r="F6" s="360">
        <v>4</v>
      </c>
      <c r="G6" s="338" t="s">
        <v>259</v>
      </c>
      <c r="H6" s="360">
        <v>5</v>
      </c>
      <c r="I6" s="338" t="s">
        <v>254</v>
      </c>
      <c r="J6" s="360">
        <v>5</v>
      </c>
      <c r="K6" s="338" t="s">
        <v>262</v>
      </c>
      <c r="L6" s="360">
        <v>5</v>
      </c>
      <c r="M6" s="338" t="s">
        <v>264</v>
      </c>
      <c r="N6" s="342"/>
    </row>
    <row r="7" spans="1:14">
      <c r="A7" s="362" t="s">
        <v>252</v>
      </c>
      <c r="B7" s="363" t="s">
        <v>253</v>
      </c>
      <c r="C7" s="564">
        <v>52</v>
      </c>
      <c r="D7" s="559">
        <f>+SUM(F5:F7)+SUM(H5:H7)+SUM(J5:J7)+SUM(L5:L7)</f>
        <v>52</v>
      </c>
      <c r="E7" s="517"/>
      <c r="F7" s="364">
        <v>5</v>
      </c>
      <c r="G7" s="363" t="s">
        <v>260</v>
      </c>
      <c r="H7" s="364">
        <v>4</v>
      </c>
      <c r="I7" s="363" t="s">
        <v>255</v>
      </c>
      <c r="J7" s="364">
        <v>4</v>
      </c>
      <c r="K7" s="363" t="s">
        <v>257</v>
      </c>
      <c r="L7" s="364">
        <v>4</v>
      </c>
      <c r="M7" s="363" t="s">
        <v>265</v>
      </c>
      <c r="N7" s="365"/>
    </row>
    <row r="8" spans="1:14">
      <c r="A8" s="366"/>
      <c r="B8" s="367" t="s">
        <v>266</v>
      </c>
      <c r="C8" s="560">
        <v>4</v>
      </c>
      <c r="D8" s="560">
        <v>4</v>
      </c>
      <c r="E8" s="518"/>
      <c r="F8" s="367" t="s">
        <v>348</v>
      </c>
      <c r="G8" s="367"/>
      <c r="H8" s="367"/>
      <c r="I8" s="367"/>
      <c r="J8" s="367"/>
      <c r="K8" s="367"/>
      <c r="L8" s="367"/>
      <c r="M8" s="367"/>
      <c r="N8" s="368"/>
    </row>
    <row r="9" spans="1:14">
      <c r="A9" s="366"/>
      <c r="B9" s="367" t="s">
        <v>267</v>
      </c>
      <c r="C9" s="560">
        <v>6</v>
      </c>
      <c r="D9" s="560">
        <v>7</v>
      </c>
      <c r="E9" s="518"/>
      <c r="F9" s="367" t="s">
        <v>349</v>
      </c>
      <c r="G9" s="367"/>
      <c r="H9" s="367"/>
      <c r="I9" s="367"/>
      <c r="J9" s="367"/>
      <c r="K9" s="367"/>
      <c r="L9" s="367"/>
      <c r="M9" s="367"/>
      <c r="N9" s="368"/>
    </row>
    <row r="10" spans="1:14">
      <c r="A10" s="366"/>
      <c r="B10" s="367" t="s">
        <v>352</v>
      </c>
      <c r="C10" s="560">
        <v>1</v>
      </c>
      <c r="D10" s="560">
        <v>1</v>
      </c>
      <c r="E10" s="518"/>
      <c r="F10" s="367" t="s">
        <v>351</v>
      </c>
      <c r="G10" s="367"/>
      <c r="H10" s="367"/>
      <c r="I10" s="367"/>
      <c r="J10" s="367"/>
      <c r="K10" s="367"/>
      <c r="L10" s="367"/>
      <c r="M10" s="367"/>
      <c r="N10" s="368"/>
    </row>
    <row r="11" spans="1:14" ht="15" thickBot="1">
      <c r="A11" s="361"/>
      <c r="B11" s="348" t="s">
        <v>268</v>
      </c>
      <c r="C11" s="561">
        <v>15</v>
      </c>
      <c r="D11" s="561">
        <v>15</v>
      </c>
      <c r="E11" s="519"/>
      <c r="F11" s="348" t="s">
        <v>350</v>
      </c>
      <c r="G11" s="348"/>
      <c r="H11" s="348"/>
      <c r="I11" s="348"/>
      <c r="J11" s="348"/>
      <c r="K11" s="348"/>
      <c r="L11" s="348"/>
      <c r="M11" s="348"/>
      <c r="N11" s="349"/>
    </row>
    <row r="12" spans="1:14" ht="16.5" customHeight="1" thickTop="1" thickBot="1">
      <c r="A12" s="369"/>
    </row>
    <row r="13" spans="1:14" ht="49" customHeight="1" thickTop="1" thickBot="1">
      <c r="A13" s="553" t="s">
        <v>245</v>
      </c>
      <c r="B13" s="549"/>
      <c r="C13" s="565">
        <v>3000</v>
      </c>
      <c r="D13" s="566">
        <f>ROUND(+C13*(1+'New Year-Full Year'!F95),0)</f>
        <v>3060</v>
      </c>
      <c r="E13" s="541"/>
      <c r="F13" s="774" t="s">
        <v>463</v>
      </c>
      <c r="G13" s="774"/>
      <c r="H13" s="774"/>
      <c r="I13" s="774"/>
      <c r="J13" s="774"/>
      <c r="K13" s="774"/>
      <c r="L13" s="774"/>
      <c r="M13" s="774"/>
      <c r="N13" s="775"/>
    </row>
    <row r="14" spans="1:14" ht="15.5" thickTop="1" thickBot="1">
      <c r="A14" s="769" t="s">
        <v>276</v>
      </c>
      <c r="B14" s="770"/>
      <c r="C14" s="770"/>
      <c r="D14" s="770"/>
      <c r="E14" s="770"/>
      <c r="F14" s="770"/>
      <c r="G14" s="770"/>
      <c r="H14" s="770"/>
      <c r="I14" s="770"/>
      <c r="J14" s="770"/>
      <c r="K14" s="770"/>
      <c r="L14" s="770"/>
      <c r="M14" s="770"/>
      <c r="N14" s="771"/>
    </row>
    <row r="15" spans="1:14" ht="15" customHeight="1" thickTop="1">
      <c r="A15" s="784" t="s">
        <v>278</v>
      </c>
      <c r="B15" s="351" t="s">
        <v>283</v>
      </c>
      <c r="C15" s="567">
        <v>37</v>
      </c>
      <c r="D15" s="568">
        <f>+D7-D11</f>
        <v>37</v>
      </c>
      <c r="E15" s="520"/>
      <c r="F15" s="776" t="s">
        <v>305</v>
      </c>
      <c r="G15" s="776"/>
      <c r="H15" s="776"/>
      <c r="I15" s="776"/>
      <c r="J15" s="776"/>
      <c r="K15" s="776"/>
      <c r="L15" s="776"/>
      <c r="M15" s="776"/>
      <c r="N15" s="777"/>
    </row>
    <row r="16" spans="1:14">
      <c r="A16" s="785"/>
      <c r="B16" s="337" t="s">
        <v>282</v>
      </c>
      <c r="C16" s="569">
        <v>1</v>
      </c>
      <c r="D16" s="569">
        <v>1</v>
      </c>
      <c r="E16" s="521"/>
      <c r="F16" s="778"/>
      <c r="G16" s="778"/>
      <c r="H16" s="778"/>
      <c r="I16" s="778"/>
      <c r="J16" s="778"/>
      <c r="K16" s="778"/>
      <c r="L16" s="778"/>
      <c r="M16" s="778"/>
      <c r="N16" s="779"/>
    </row>
    <row r="17" spans="1:15">
      <c r="A17" s="785"/>
      <c r="B17" s="343" t="s">
        <v>280</v>
      </c>
      <c r="C17" s="570">
        <f>+C15*C16</f>
        <v>37</v>
      </c>
      <c r="D17" s="570">
        <f>+D15*D16</f>
        <v>37</v>
      </c>
      <c r="E17" s="522"/>
      <c r="F17" s="344"/>
      <c r="G17" s="344"/>
      <c r="H17" s="355"/>
      <c r="I17" s="344"/>
      <c r="J17" s="355"/>
      <c r="K17" s="344"/>
      <c r="L17" s="355"/>
      <c r="M17" s="344"/>
      <c r="N17" s="346"/>
    </row>
    <row r="18" spans="1:15">
      <c r="A18" s="786"/>
      <c r="B18" s="340" t="s">
        <v>251</v>
      </c>
      <c r="C18" s="571"/>
      <c r="D18" s="571"/>
      <c r="E18" s="523"/>
      <c r="F18" s="160"/>
      <c r="G18" s="160"/>
      <c r="H18" s="221"/>
      <c r="I18" s="160"/>
      <c r="J18" s="221"/>
      <c r="K18" s="160"/>
      <c r="L18" s="221"/>
      <c r="M18" s="160"/>
      <c r="N18" s="341"/>
    </row>
    <row r="19" spans="1:15">
      <c r="A19" s="786"/>
      <c r="B19" s="337" t="s">
        <v>249</v>
      </c>
      <c r="C19" s="569">
        <v>0</v>
      </c>
      <c r="D19" s="569">
        <v>0</v>
      </c>
      <c r="E19" s="521"/>
      <c r="F19" s="338" t="s">
        <v>269</v>
      </c>
      <c r="G19" s="200"/>
      <c r="I19" s="338"/>
      <c r="J19" s="200"/>
      <c r="K19" s="338"/>
      <c r="L19" s="200"/>
      <c r="M19" s="338"/>
      <c r="N19" s="342"/>
    </row>
    <row r="20" spans="1:15">
      <c r="A20" s="786"/>
      <c r="B20" s="343" t="s">
        <v>250</v>
      </c>
      <c r="C20" s="570">
        <f>+C9</f>
        <v>6</v>
      </c>
      <c r="D20" s="570">
        <f>+D9</f>
        <v>7</v>
      </c>
      <c r="E20" s="522"/>
      <c r="F20" s="344" t="s">
        <v>270</v>
      </c>
      <c r="H20" s="345"/>
      <c r="I20" s="344"/>
      <c r="J20" s="345"/>
      <c r="K20" s="344"/>
      <c r="L20" s="345"/>
      <c r="M20" s="344"/>
      <c r="N20" s="346"/>
    </row>
    <row r="21" spans="1:15">
      <c r="A21" s="786"/>
      <c r="B21" s="340" t="s">
        <v>248</v>
      </c>
      <c r="C21" s="572">
        <f>SUM(C17:C20)</f>
        <v>43</v>
      </c>
      <c r="D21" s="572">
        <f>SUM(D17:D20)</f>
        <v>44</v>
      </c>
      <c r="E21" s="524"/>
      <c r="F21" s="160"/>
      <c r="G21" s="160"/>
      <c r="H21" s="221"/>
      <c r="I21" s="160"/>
      <c r="J21" s="221"/>
      <c r="K21" s="160"/>
      <c r="L21" s="221"/>
      <c r="M21" s="160"/>
      <c r="N21" s="341"/>
    </row>
    <row r="22" spans="1:15">
      <c r="A22" s="786"/>
      <c r="B22" s="337" t="s">
        <v>284</v>
      </c>
      <c r="C22" s="573">
        <f>C15</f>
        <v>37</v>
      </c>
      <c r="D22" s="573">
        <f>D15</f>
        <v>37</v>
      </c>
      <c r="E22" s="525"/>
      <c r="F22" s="338" t="s">
        <v>281</v>
      </c>
      <c r="H22" s="200"/>
      <c r="I22" s="338"/>
      <c r="J22" s="200"/>
      <c r="K22" s="338"/>
      <c r="L22" s="200"/>
      <c r="M22" s="338"/>
      <c r="N22" s="342"/>
    </row>
    <row r="23" spans="1:15">
      <c r="A23" s="786"/>
      <c r="B23" s="343" t="s">
        <v>279</v>
      </c>
      <c r="C23" s="574">
        <f>+C21+C22</f>
        <v>80</v>
      </c>
      <c r="D23" s="574">
        <f>+D21+D22</f>
        <v>81</v>
      </c>
      <c r="E23" s="526"/>
      <c r="F23" s="344"/>
      <c r="G23" s="344"/>
      <c r="H23" s="345"/>
      <c r="I23" s="344"/>
      <c r="J23" s="345"/>
      <c r="K23" s="344"/>
      <c r="L23" s="345"/>
      <c r="M23" s="344"/>
      <c r="N23" s="346"/>
    </row>
    <row r="24" spans="1:15">
      <c r="A24" s="787" t="s">
        <v>273</v>
      </c>
      <c r="B24" s="160" t="s">
        <v>290</v>
      </c>
      <c r="C24" s="571">
        <v>6</v>
      </c>
      <c r="D24" s="571">
        <v>6</v>
      </c>
      <c r="E24" s="523"/>
      <c r="F24" s="160"/>
      <c r="G24" s="160"/>
      <c r="H24" s="221"/>
      <c r="I24" s="160"/>
      <c r="J24" s="221"/>
      <c r="K24" s="160"/>
      <c r="L24" s="221"/>
      <c r="M24" s="160"/>
      <c r="N24" s="341"/>
    </row>
    <row r="25" spans="1:15">
      <c r="A25" s="788"/>
      <c r="B25" s="338" t="s">
        <v>353</v>
      </c>
      <c r="C25" s="569">
        <v>0</v>
      </c>
      <c r="D25" s="569">
        <v>3</v>
      </c>
      <c r="E25" s="521"/>
      <c r="F25" s="338" t="s">
        <v>354</v>
      </c>
      <c r="H25" s="200"/>
      <c r="I25" s="338"/>
      <c r="J25" s="200"/>
      <c r="K25" s="338"/>
      <c r="L25" s="200"/>
      <c r="M25" s="338"/>
      <c r="N25" s="342"/>
    </row>
    <row r="26" spans="1:15">
      <c r="A26" s="788"/>
      <c r="B26" s="338" t="s">
        <v>272</v>
      </c>
      <c r="C26" s="575">
        <v>25</v>
      </c>
      <c r="D26" s="575">
        <v>25</v>
      </c>
      <c r="E26" s="527"/>
      <c r="F26" s="338"/>
      <c r="G26" s="338"/>
      <c r="H26" s="200"/>
      <c r="I26" s="338"/>
      <c r="J26" s="200"/>
      <c r="K26" s="338"/>
      <c r="L26" s="200"/>
      <c r="M26" s="338"/>
      <c r="N26" s="342"/>
      <c r="O26" s="152"/>
    </row>
    <row r="27" spans="1:15">
      <c r="A27" s="789"/>
      <c r="B27" s="344" t="s">
        <v>395</v>
      </c>
      <c r="C27" s="576">
        <v>30</v>
      </c>
      <c r="D27" s="576">
        <v>30</v>
      </c>
      <c r="E27" s="528"/>
      <c r="F27" s="344"/>
      <c r="G27" s="344"/>
      <c r="H27" s="345"/>
      <c r="I27" s="344"/>
      <c r="J27" s="345"/>
      <c r="K27" s="344"/>
      <c r="L27" s="345"/>
      <c r="M27" s="344"/>
      <c r="N27" s="346"/>
    </row>
    <row r="28" spans="1:15">
      <c r="A28" s="787" t="s">
        <v>275</v>
      </c>
      <c r="B28" s="160" t="s">
        <v>271</v>
      </c>
      <c r="C28" s="577">
        <f>+C22*C24*C26</f>
        <v>5550</v>
      </c>
      <c r="D28" s="577">
        <f>(+D22*D24*D26)+(D25*2*D26)</f>
        <v>5700</v>
      </c>
      <c r="E28" s="529"/>
      <c r="F28" s="160"/>
      <c r="G28" s="160"/>
      <c r="H28" s="221"/>
      <c r="I28" s="160"/>
      <c r="J28" s="221"/>
      <c r="K28" s="160"/>
      <c r="L28" s="221"/>
      <c r="M28" s="160"/>
      <c r="N28" s="341"/>
    </row>
    <row r="29" spans="1:15">
      <c r="A29" s="788"/>
      <c r="B29" s="338" t="s">
        <v>274</v>
      </c>
      <c r="C29" s="578">
        <f>+C21*C24*C27</f>
        <v>7740</v>
      </c>
      <c r="D29" s="578">
        <f>(+D21*D24*D27)+(D25*2*D27)</f>
        <v>8100</v>
      </c>
      <c r="E29" s="530"/>
      <c r="F29" s="338"/>
      <c r="G29" s="338"/>
      <c r="H29" s="200"/>
      <c r="I29" s="347"/>
      <c r="J29" s="200"/>
      <c r="K29" s="338"/>
      <c r="L29" s="200"/>
      <c r="M29" s="338"/>
      <c r="N29" s="342"/>
    </row>
    <row r="30" spans="1:15" ht="15" thickBot="1">
      <c r="A30" s="790"/>
      <c r="B30" s="554" t="s">
        <v>285</v>
      </c>
      <c r="C30" s="579">
        <f>+C28+C29</f>
        <v>13290</v>
      </c>
      <c r="D30" s="580">
        <f>+D28+D29</f>
        <v>13800</v>
      </c>
      <c r="E30" s="542"/>
      <c r="F30" s="496"/>
      <c r="G30" s="496"/>
      <c r="H30" s="496"/>
      <c r="I30" s="496"/>
      <c r="J30" s="496"/>
      <c r="K30" s="496"/>
      <c r="L30" s="496"/>
      <c r="M30" s="496"/>
      <c r="N30" s="543"/>
    </row>
    <row r="31" spans="1:15" ht="15.5" thickTop="1" thickBot="1">
      <c r="A31" s="769" t="s">
        <v>277</v>
      </c>
      <c r="B31" s="770"/>
      <c r="C31" s="770"/>
      <c r="D31" s="770"/>
      <c r="E31" s="770"/>
      <c r="F31" s="770"/>
      <c r="G31" s="770"/>
      <c r="H31" s="770"/>
      <c r="I31" s="770"/>
      <c r="J31" s="770"/>
      <c r="K31" s="770"/>
      <c r="L31" s="770"/>
      <c r="M31" s="770"/>
      <c r="N31" s="771"/>
    </row>
    <row r="32" spans="1:15" ht="15" customHeight="1" thickTop="1">
      <c r="A32" s="791" t="s">
        <v>278</v>
      </c>
      <c r="B32" s="352" t="s">
        <v>283</v>
      </c>
      <c r="C32" s="581">
        <v>52</v>
      </c>
      <c r="D32" s="581">
        <f>+D7</f>
        <v>52</v>
      </c>
      <c r="E32" s="531"/>
      <c r="F32" s="352"/>
      <c r="G32" s="352"/>
      <c r="H32" s="353"/>
      <c r="I32" s="352"/>
      <c r="J32" s="353"/>
      <c r="K32" s="352"/>
      <c r="L32" s="353"/>
      <c r="M32" s="352"/>
      <c r="N32" s="354"/>
    </row>
    <row r="33" spans="1:14">
      <c r="A33" s="792"/>
      <c r="B33" s="338" t="s">
        <v>282</v>
      </c>
      <c r="C33" s="582">
        <v>2</v>
      </c>
      <c r="D33" s="582">
        <v>2</v>
      </c>
      <c r="E33" s="532"/>
      <c r="F33" s="338"/>
      <c r="G33" s="338"/>
      <c r="H33" s="200"/>
      <c r="I33" s="338"/>
      <c r="J33" s="200"/>
      <c r="K33" s="338"/>
      <c r="L33" s="200"/>
      <c r="M33" s="338"/>
      <c r="N33" s="342"/>
    </row>
    <row r="34" spans="1:14">
      <c r="A34" s="792"/>
      <c r="B34" s="344" t="s">
        <v>280</v>
      </c>
      <c r="C34" s="583">
        <f>+C32*C33</f>
        <v>104</v>
      </c>
      <c r="D34" s="583">
        <f>+D32*D33</f>
        <v>104</v>
      </c>
      <c r="E34" s="533"/>
      <c r="F34" s="344"/>
      <c r="G34" s="344"/>
      <c r="H34" s="345"/>
      <c r="I34" s="344"/>
      <c r="J34" s="345"/>
      <c r="K34" s="344"/>
      <c r="L34" s="345"/>
      <c r="M34" s="344"/>
      <c r="N34" s="346"/>
    </row>
    <row r="35" spans="1:14">
      <c r="A35" s="792"/>
      <c r="B35" s="160" t="s">
        <v>251</v>
      </c>
      <c r="C35" s="584"/>
      <c r="D35" s="584"/>
      <c r="E35" s="534"/>
      <c r="F35" s="160"/>
      <c r="G35" s="160"/>
      <c r="H35" s="221"/>
      <c r="I35" s="160"/>
      <c r="J35" s="221"/>
      <c r="K35" s="160"/>
      <c r="L35" s="221"/>
      <c r="M35" s="160"/>
      <c r="N35" s="341"/>
    </row>
    <row r="36" spans="1:14">
      <c r="A36" s="792"/>
      <c r="B36" s="338" t="s">
        <v>286</v>
      </c>
      <c r="C36" s="585">
        <f>+C8</f>
        <v>4</v>
      </c>
      <c r="D36" s="585">
        <f>+D8</f>
        <v>4</v>
      </c>
      <c r="E36" s="535"/>
      <c r="F36" s="338"/>
      <c r="G36" s="338"/>
      <c r="H36" s="200"/>
      <c r="I36" s="338"/>
      <c r="J36" s="200"/>
      <c r="K36" s="338"/>
      <c r="L36" s="200"/>
      <c r="M36" s="338"/>
      <c r="N36" s="342"/>
    </row>
    <row r="37" spans="1:14">
      <c r="A37" s="792"/>
      <c r="B37" s="338" t="s">
        <v>287</v>
      </c>
      <c r="C37" s="585">
        <f>+C9</f>
        <v>6</v>
      </c>
      <c r="D37" s="585">
        <f>+D9</f>
        <v>7</v>
      </c>
      <c r="E37" s="535"/>
      <c r="F37" s="338"/>
      <c r="G37" s="338"/>
      <c r="H37" s="200"/>
      <c r="I37" s="338"/>
      <c r="J37" s="200"/>
      <c r="K37" s="338"/>
      <c r="L37" s="200"/>
      <c r="M37" s="338"/>
      <c r="N37" s="342"/>
    </row>
    <row r="38" spans="1:14">
      <c r="A38" s="792"/>
      <c r="B38" s="200" t="s">
        <v>288</v>
      </c>
      <c r="C38" s="586">
        <v>20</v>
      </c>
      <c r="D38" s="586">
        <v>20</v>
      </c>
      <c r="E38" s="536"/>
      <c r="F38" s="200" t="s">
        <v>306</v>
      </c>
      <c r="H38" s="200"/>
      <c r="I38" s="200"/>
      <c r="J38" s="200"/>
      <c r="K38" s="200"/>
      <c r="L38" s="200"/>
      <c r="M38" s="200"/>
      <c r="N38" s="357"/>
    </row>
    <row r="39" spans="1:14">
      <c r="A39" s="793"/>
      <c r="B39" s="345" t="s">
        <v>289</v>
      </c>
      <c r="C39" s="587">
        <f>SUM(C34:C38)</f>
        <v>134</v>
      </c>
      <c r="D39" s="587">
        <f>SUM(D34:D38)</f>
        <v>135</v>
      </c>
      <c r="E39" s="345"/>
      <c r="F39" s="345"/>
      <c r="G39" s="345"/>
      <c r="H39" s="345"/>
      <c r="I39" s="345"/>
      <c r="J39" s="345"/>
      <c r="K39" s="345"/>
      <c r="L39" s="345"/>
      <c r="M39" s="345"/>
      <c r="N39" s="356"/>
    </row>
    <row r="40" spans="1:14">
      <c r="A40" s="766" t="s">
        <v>293</v>
      </c>
      <c r="B40" s="160" t="s">
        <v>292</v>
      </c>
      <c r="C40" s="588">
        <v>1</v>
      </c>
      <c r="D40" s="588">
        <v>1</v>
      </c>
      <c r="E40" s="170"/>
      <c r="F40" s="160"/>
      <c r="G40" s="160"/>
      <c r="H40" s="221"/>
      <c r="I40" s="160"/>
      <c r="J40" s="221"/>
      <c r="K40" s="160"/>
      <c r="L40" s="221"/>
      <c r="M40" s="160"/>
      <c r="N40" s="341"/>
    </row>
    <row r="41" spans="1:14">
      <c r="A41" s="765"/>
      <c r="B41" s="344" t="s">
        <v>291</v>
      </c>
      <c r="C41" s="589">
        <v>25</v>
      </c>
      <c r="D41" s="589">
        <v>25</v>
      </c>
      <c r="E41" s="537"/>
      <c r="F41" s="344"/>
      <c r="G41" s="344"/>
      <c r="H41" s="345"/>
      <c r="I41" s="344"/>
      <c r="J41" s="345"/>
      <c r="K41" s="344"/>
      <c r="L41" s="345"/>
      <c r="M41" s="344"/>
      <c r="N41" s="346"/>
    </row>
    <row r="42" spans="1:14" ht="29" customHeight="1" thickBot="1">
      <c r="A42" s="358" t="s">
        <v>275</v>
      </c>
      <c r="B42" s="555" t="s">
        <v>246</v>
      </c>
      <c r="C42" s="590">
        <f>+C39*C40*C41</f>
        <v>3350</v>
      </c>
      <c r="D42" s="591">
        <f>+D39*D40*D41</f>
        <v>3375</v>
      </c>
      <c r="E42" s="545"/>
      <c r="F42" s="544"/>
      <c r="G42" s="767"/>
      <c r="H42" s="767"/>
      <c r="I42" s="767"/>
      <c r="J42" s="767"/>
      <c r="K42" s="767"/>
      <c r="L42" s="767"/>
      <c r="M42" s="767"/>
      <c r="N42" s="768"/>
    </row>
    <row r="43" spans="1:14" ht="15.5" thickTop="1" thickBot="1">
      <c r="A43" s="769" t="s">
        <v>308</v>
      </c>
      <c r="B43" s="770"/>
      <c r="C43" s="770"/>
      <c r="D43" s="770"/>
      <c r="E43" s="770"/>
      <c r="F43" s="770"/>
      <c r="G43" s="770"/>
      <c r="H43" s="770"/>
      <c r="I43" s="770"/>
      <c r="J43" s="770"/>
      <c r="K43" s="770"/>
      <c r="L43" s="770"/>
      <c r="M43" s="770"/>
      <c r="N43" s="771"/>
    </row>
    <row r="44" spans="1:14" ht="15" customHeight="1" thickTop="1">
      <c r="A44" s="763" t="s">
        <v>278</v>
      </c>
      <c r="B44" s="352" t="s">
        <v>283</v>
      </c>
      <c r="C44" s="581">
        <f>+C11</f>
        <v>15</v>
      </c>
      <c r="D44" s="581">
        <f>+D11</f>
        <v>15</v>
      </c>
      <c r="E44" s="531"/>
      <c r="F44" s="776" t="str">
        <f>+F11</f>
        <v>Memorial Day (May 25) - Labor Day (Sept 7)</v>
      </c>
      <c r="G44" s="776"/>
      <c r="H44" s="776"/>
      <c r="I44" s="776"/>
      <c r="J44" s="776"/>
      <c r="K44" s="776"/>
      <c r="L44" s="776"/>
      <c r="M44" s="776"/>
      <c r="N44" s="777"/>
    </row>
    <row r="45" spans="1:14">
      <c r="A45" s="764"/>
      <c r="B45" s="338" t="s">
        <v>282</v>
      </c>
      <c r="C45" s="582">
        <v>1</v>
      </c>
      <c r="D45" s="582">
        <v>1</v>
      </c>
      <c r="E45" s="532"/>
      <c r="F45" s="778"/>
      <c r="G45" s="778"/>
      <c r="H45" s="778"/>
      <c r="I45" s="778"/>
      <c r="J45" s="778"/>
      <c r="K45" s="778"/>
      <c r="L45" s="778"/>
      <c r="M45" s="778"/>
      <c r="N45" s="779"/>
    </row>
    <row r="46" spans="1:14">
      <c r="A46" s="765"/>
      <c r="B46" s="344" t="s">
        <v>280</v>
      </c>
      <c r="C46" s="583">
        <f>+C44*C45</f>
        <v>15</v>
      </c>
      <c r="D46" s="583">
        <f>+D44*D45</f>
        <v>15</v>
      </c>
      <c r="E46" s="533"/>
      <c r="F46" s="344"/>
      <c r="G46" s="344"/>
      <c r="H46" s="345"/>
      <c r="I46" s="344"/>
      <c r="J46" s="345"/>
      <c r="K46" s="344"/>
      <c r="L46" s="345"/>
      <c r="M46" s="344"/>
      <c r="N46" s="346"/>
    </row>
    <row r="47" spans="1:14">
      <c r="A47" s="766" t="s">
        <v>293</v>
      </c>
      <c r="B47" s="160" t="s">
        <v>294</v>
      </c>
      <c r="C47" s="588">
        <v>3</v>
      </c>
      <c r="D47" s="588">
        <v>3</v>
      </c>
      <c r="E47" s="170"/>
      <c r="F47" s="160" t="s">
        <v>295</v>
      </c>
      <c r="H47" s="221"/>
      <c r="I47" s="160"/>
      <c r="J47" s="221"/>
      <c r="K47" s="160"/>
      <c r="L47" s="221"/>
      <c r="M47" s="160"/>
      <c r="N47" s="341"/>
    </row>
    <row r="48" spans="1:14">
      <c r="A48" s="765"/>
      <c r="B48" s="344" t="s">
        <v>296</v>
      </c>
      <c r="C48" s="589">
        <v>50</v>
      </c>
      <c r="D48" s="589">
        <v>50</v>
      </c>
      <c r="E48" s="537"/>
      <c r="F48" s="344"/>
      <c r="G48" s="344"/>
      <c r="H48" s="345"/>
      <c r="I48" s="344"/>
      <c r="J48" s="345"/>
      <c r="K48" s="344"/>
      <c r="L48" s="345"/>
      <c r="M48" s="344"/>
      <c r="N48" s="346"/>
    </row>
    <row r="49" spans="1:15" ht="15" thickBot="1">
      <c r="A49" s="372" t="s">
        <v>275</v>
      </c>
      <c r="B49" s="370" t="s">
        <v>300</v>
      </c>
      <c r="C49" s="592">
        <f>+C46*C47*C48</f>
        <v>2250</v>
      </c>
      <c r="D49" s="592">
        <f>+D46*D47*D48</f>
        <v>2250</v>
      </c>
      <c r="E49" s="538"/>
      <c r="F49" s="221"/>
      <c r="G49" s="221"/>
      <c r="H49" s="221"/>
      <c r="I49" s="221"/>
      <c r="J49" s="221"/>
      <c r="K49" s="221"/>
      <c r="L49" s="221"/>
      <c r="M49" s="221"/>
      <c r="N49" s="371"/>
    </row>
    <row r="50" spans="1:15" ht="15" customHeight="1">
      <c r="A50" s="794" t="s">
        <v>293</v>
      </c>
      <c r="B50" s="373" t="s">
        <v>302</v>
      </c>
      <c r="C50" s="593">
        <v>2</v>
      </c>
      <c r="D50" s="593">
        <v>2</v>
      </c>
      <c r="E50" s="539"/>
      <c r="F50" s="373" t="s">
        <v>295</v>
      </c>
      <c r="G50" s="373"/>
      <c r="H50" s="374"/>
      <c r="I50" s="373"/>
      <c r="J50" s="374"/>
      <c r="K50" s="373"/>
      <c r="L50" s="374"/>
      <c r="M50" s="373"/>
      <c r="N50" s="375"/>
    </row>
    <row r="51" spans="1:15" ht="15" customHeight="1">
      <c r="A51" s="765"/>
      <c r="B51" s="344" t="s">
        <v>301</v>
      </c>
      <c r="C51" s="589">
        <v>25</v>
      </c>
      <c r="D51" s="589">
        <v>25</v>
      </c>
      <c r="E51" s="537"/>
      <c r="F51" s="344"/>
      <c r="G51" s="344"/>
      <c r="H51" s="345"/>
      <c r="I51" s="344"/>
      <c r="J51" s="345"/>
      <c r="K51" s="344"/>
      <c r="L51" s="345"/>
      <c r="M51" s="344"/>
      <c r="N51" s="346"/>
    </row>
    <row r="52" spans="1:15" ht="15" thickBot="1">
      <c r="A52" s="376" t="s">
        <v>275</v>
      </c>
      <c r="B52" s="377" t="s">
        <v>303</v>
      </c>
      <c r="C52" s="594">
        <f>+C44*C50*C51</f>
        <v>750</v>
      </c>
      <c r="D52" s="594">
        <f>+D44*D50*D51</f>
        <v>750</v>
      </c>
      <c r="E52" s="540"/>
      <c r="F52" s="378"/>
      <c r="G52" s="378"/>
      <c r="H52" s="378"/>
      <c r="I52" s="378"/>
      <c r="J52" s="378"/>
      <c r="K52" s="378"/>
      <c r="L52" s="378"/>
      <c r="M52" s="378"/>
      <c r="N52" s="379"/>
    </row>
    <row r="53" spans="1:15" ht="15" thickBot="1">
      <c r="A53" s="358" t="s">
        <v>275</v>
      </c>
      <c r="B53" s="350" t="s">
        <v>304</v>
      </c>
      <c r="C53" s="595">
        <f>+C49+C52</f>
        <v>3000</v>
      </c>
      <c r="D53" s="596">
        <f>+D49+D52</f>
        <v>3000</v>
      </c>
      <c r="E53" s="546"/>
      <c r="F53" s="496"/>
      <c r="G53" s="496"/>
      <c r="H53" s="496"/>
      <c r="I53" s="496"/>
      <c r="J53" s="496"/>
      <c r="K53" s="496"/>
      <c r="L53" s="496"/>
      <c r="M53" s="496"/>
      <c r="N53" s="543"/>
    </row>
    <row r="54" spans="1:15" ht="15.5" thickTop="1" thickBot="1">
      <c r="A54" s="769" t="s">
        <v>247</v>
      </c>
      <c r="B54" s="770"/>
      <c r="C54" s="770"/>
      <c r="D54" s="770"/>
      <c r="E54" s="770"/>
      <c r="F54" s="770"/>
      <c r="G54" s="770"/>
      <c r="H54" s="770"/>
      <c r="I54" s="770"/>
      <c r="J54" s="770"/>
      <c r="K54" s="770"/>
      <c r="L54" s="770"/>
      <c r="M54" s="770"/>
      <c r="N54" s="771"/>
    </row>
    <row r="55" spans="1:15" ht="15" customHeight="1" thickTop="1">
      <c r="A55" s="763" t="s">
        <v>278</v>
      </c>
      <c r="B55" s="352" t="s">
        <v>283</v>
      </c>
      <c r="C55" s="581">
        <f>+C15</f>
        <v>37</v>
      </c>
      <c r="D55" s="581">
        <f>+D15</f>
        <v>37</v>
      </c>
      <c r="E55" s="531"/>
      <c r="F55" s="352"/>
      <c r="G55" s="352" t="s">
        <v>298</v>
      </c>
      <c r="H55" s="353"/>
      <c r="I55" s="352"/>
      <c r="J55" s="353"/>
      <c r="K55" s="352"/>
      <c r="L55" s="353"/>
      <c r="M55" s="352"/>
      <c r="N55" s="354"/>
    </row>
    <row r="56" spans="1:15">
      <c r="A56" s="764"/>
      <c r="B56" s="338" t="s">
        <v>282</v>
      </c>
      <c r="C56" s="582">
        <v>1</v>
      </c>
      <c r="D56" s="582">
        <v>1</v>
      </c>
      <c r="E56" s="532"/>
      <c r="F56" s="338"/>
      <c r="G56" s="338"/>
      <c r="H56" s="200"/>
      <c r="I56" s="338"/>
      <c r="J56" s="200"/>
      <c r="K56" s="338"/>
      <c r="L56" s="200"/>
      <c r="M56" s="338"/>
      <c r="N56" s="342"/>
    </row>
    <row r="57" spans="1:15">
      <c r="A57" s="765"/>
      <c r="B57" s="344" t="s">
        <v>280</v>
      </c>
      <c r="C57" s="583">
        <f>+C55*C56</f>
        <v>37</v>
      </c>
      <c r="D57" s="583">
        <f>+D55*D56</f>
        <v>37</v>
      </c>
      <c r="E57" s="533"/>
      <c r="F57" s="344"/>
      <c r="G57" s="344"/>
      <c r="H57" s="345"/>
      <c r="I57" s="344"/>
      <c r="J57" s="345"/>
      <c r="K57" s="344"/>
      <c r="L57" s="345"/>
      <c r="M57" s="344"/>
      <c r="N57" s="346"/>
    </row>
    <row r="58" spans="1:15">
      <c r="A58" s="766" t="s">
        <v>293</v>
      </c>
      <c r="B58" s="160" t="s">
        <v>299</v>
      </c>
      <c r="C58" s="588">
        <v>1</v>
      </c>
      <c r="D58" s="588">
        <v>1</v>
      </c>
      <c r="E58" s="170"/>
      <c r="F58" s="160"/>
      <c r="G58" s="160"/>
      <c r="H58" s="221"/>
      <c r="I58" s="160"/>
      <c r="J58" s="221"/>
      <c r="K58" s="160"/>
      <c r="L58" s="221"/>
      <c r="M58" s="160"/>
      <c r="N58" s="341"/>
    </row>
    <row r="59" spans="1:15">
      <c r="A59" s="765"/>
      <c r="B59" s="344" t="s">
        <v>296</v>
      </c>
      <c r="C59" s="589">
        <v>25</v>
      </c>
      <c r="D59" s="589">
        <v>25</v>
      </c>
      <c r="E59" s="537"/>
      <c r="F59" s="344"/>
      <c r="G59" s="344"/>
      <c r="H59" s="345"/>
      <c r="I59" s="344"/>
      <c r="J59" s="345"/>
      <c r="K59" s="344"/>
      <c r="L59" s="345"/>
      <c r="M59" s="344"/>
      <c r="N59" s="346"/>
    </row>
    <row r="60" spans="1:15" ht="15" thickBot="1">
      <c r="A60" s="358" t="s">
        <v>275</v>
      </c>
      <c r="B60" s="555" t="s">
        <v>297</v>
      </c>
      <c r="C60" s="590">
        <f>+C57*C58*C59</f>
        <v>925</v>
      </c>
      <c r="D60" s="591">
        <f>+D57*D58*D59</f>
        <v>925</v>
      </c>
      <c r="E60" s="545"/>
      <c r="F60" s="544"/>
      <c r="G60" s="544"/>
      <c r="H60" s="544"/>
      <c r="I60" s="544"/>
      <c r="J60" s="544"/>
      <c r="K60" s="544"/>
      <c r="L60" s="544"/>
      <c r="M60" s="544"/>
      <c r="N60" s="547"/>
      <c r="O60" s="219"/>
    </row>
    <row r="61" spans="1:15" ht="15.5" thickTop="1" thickBot="1">
      <c r="C61" s="339"/>
      <c r="D61" s="339"/>
      <c r="E61" s="548"/>
      <c r="F61" s="219"/>
      <c r="G61" s="219"/>
      <c r="H61" s="219"/>
      <c r="I61" s="219"/>
      <c r="J61" s="219"/>
      <c r="K61" s="219"/>
      <c r="L61" s="219"/>
      <c r="M61" s="219"/>
      <c r="N61" s="219"/>
      <c r="O61" s="219"/>
    </row>
    <row r="62" spans="1:15" ht="15.5" thickTop="1" thickBot="1">
      <c r="A62" s="769" t="s">
        <v>411</v>
      </c>
      <c r="B62" s="770"/>
      <c r="C62" s="597">
        <f>+C13+C30+C42+C53+C60</f>
        <v>23565</v>
      </c>
      <c r="D62" s="598">
        <f>+D13+D30+D42+D53+D60</f>
        <v>24160</v>
      </c>
      <c r="E62" s="550"/>
      <c r="F62" s="200"/>
      <c r="G62" s="200"/>
      <c r="H62" s="200"/>
      <c r="I62" s="200"/>
      <c r="J62" s="200"/>
      <c r="K62" s="200"/>
      <c r="L62" s="200"/>
      <c r="M62" s="200"/>
      <c r="N62" s="200"/>
      <c r="O62" s="200"/>
    </row>
    <row r="63" spans="1:15" ht="15" thickTop="1">
      <c r="A63" s="780" t="s">
        <v>412</v>
      </c>
      <c r="B63" s="781"/>
      <c r="C63" s="494"/>
      <c r="D63" s="495">
        <f>+D62-C62</f>
        <v>595</v>
      </c>
      <c r="E63" s="550"/>
      <c r="F63" s="200"/>
      <c r="G63" s="200"/>
      <c r="H63" s="200"/>
      <c r="I63" s="200"/>
      <c r="J63" s="200"/>
      <c r="K63" s="200"/>
      <c r="L63" s="200"/>
      <c r="M63" s="200"/>
      <c r="N63" s="200"/>
      <c r="O63" s="338"/>
    </row>
    <row r="64" spans="1:15" ht="15" thickBot="1">
      <c r="A64" s="782"/>
      <c r="B64" s="783"/>
      <c r="C64" s="546"/>
      <c r="D64" s="552">
        <f>+D63/C62</f>
        <v>2.5249310417992787E-2</v>
      </c>
      <c r="E64" s="551"/>
      <c r="F64" s="200"/>
      <c r="G64" s="200"/>
      <c r="H64" s="200"/>
      <c r="I64" s="200"/>
      <c r="J64" s="200"/>
      <c r="K64" s="200"/>
      <c r="L64" s="200"/>
      <c r="M64" s="200"/>
      <c r="N64" s="200"/>
      <c r="O64" s="338"/>
    </row>
    <row r="65" spans="5:15" ht="15" thickTop="1">
      <c r="E65" s="338"/>
      <c r="F65" s="338"/>
      <c r="G65" s="338"/>
      <c r="H65" s="200"/>
      <c r="I65" s="338"/>
      <c r="J65" s="200"/>
      <c r="K65" s="338"/>
      <c r="L65" s="200"/>
      <c r="M65" s="338"/>
      <c r="N65" s="338"/>
      <c r="O65" s="338"/>
    </row>
    <row r="66" spans="5:15">
      <c r="H66" s="219"/>
      <c r="J66" s="219"/>
      <c r="L66" s="219"/>
    </row>
    <row r="67" spans="5:15">
      <c r="H67" s="219"/>
      <c r="J67" s="219"/>
      <c r="L67" s="219"/>
    </row>
    <row r="68" spans="5:15">
      <c r="H68" s="219"/>
      <c r="J68" s="219"/>
      <c r="L68" s="219"/>
    </row>
    <row r="69" spans="5:15">
      <c r="H69" s="219"/>
      <c r="J69" s="219"/>
      <c r="L69" s="219"/>
    </row>
    <row r="70" spans="5:15">
      <c r="H70" s="219"/>
      <c r="J70" s="219"/>
      <c r="L70" s="219"/>
    </row>
    <row r="71" spans="5:15">
      <c r="H71" s="219"/>
      <c r="J71" s="219"/>
      <c r="L71" s="219"/>
    </row>
    <row r="72" spans="5:15">
      <c r="H72" s="219"/>
      <c r="J72" s="219"/>
      <c r="L72" s="219"/>
    </row>
    <row r="73" spans="5:15">
      <c r="H73" s="219"/>
      <c r="J73" s="219"/>
      <c r="L73" s="219"/>
    </row>
    <row r="74" spans="5:15">
      <c r="H74" s="219"/>
      <c r="J74" s="219"/>
      <c r="L74" s="219"/>
    </row>
    <row r="75" spans="5:15">
      <c r="H75" s="219"/>
      <c r="J75" s="219"/>
      <c r="L75" s="219"/>
    </row>
    <row r="76" spans="5:15">
      <c r="H76" s="219"/>
      <c r="J76" s="219"/>
      <c r="L76" s="219"/>
    </row>
    <row r="77" spans="5:15">
      <c r="H77" s="219"/>
      <c r="J77" s="219"/>
      <c r="L77" s="219"/>
    </row>
    <row r="78" spans="5:15">
      <c r="H78" s="219"/>
      <c r="J78" s="219"/>
      <c r="L78" s="219"/>
    </row>
    <row r="79" spans="5:15">
      <c r="H79" s="219"/>
      <c r="J79" s="219"/>
      <c r="L79" s="219"/>
    </row>
    <row r="80" spans="5:15">
      <c r="H80" s="219"/>
      <c r="J80" s="219"/>
      <c r="L80" s="219"/>
    </row>
  </sheetData>
  <mergeCells count="23">
    <mergeCell ref="A63:B64"/>
    <mergeCell ref="A55:A57"/>
    <mergeCell ref="A58:A59"/>
    <mergeCell ref="A62:B62"/>
    <mergeCell ref="A15:A23"/>
    <mergeCell ref="A24:A27"/>
    <mergeCell ref="A28:A30"/>
    <mergeCell ref="A32:A39"/>
    <mergeCell ref="A40:A41"/>
    <mergeCell ref="A50:A51"/>
    <mergeCell ref="A31:N31"/>
    <mergeCell ref="A43:N43"/>
    <mergeCell ref="A54:N54"/>
    <mergeCell ref="A1:N1"/>
    <mergeCell ref="A44:A46"/>
    <mergeCell ref="A47:A48"/>
    <mergeCell ref="G42:N42"/>
    <mergeCell ref="A14:N14"/>
    <mergeCell ref="E4:N4"/>
    <mergeCell ref="F13:N13"/>
    <mergeCell ref="F15:N16"/>
    <mergeCell ref="F44:N45"/>
    <mergeCell ref="A2:N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A2" sqref="A2:E2"/>
    </sheetView>
  </sheetViews>
  <sheetFormatPr defaultRowHeight="15.5"/>
  <cols>
    <col min="1" max="1" width="1.7265625" style="382" customWidth="1"/>
    <col min="2" max="2" width="41" style="382" customWidth="1"/>
    <col min="3" max="3" width="10.26953125" style="414" customWidth="1"/>
    <col min="4" max="4" width="58.90625" style="382" customWidth="1"/>
    <col min="5" max="16384" width="8.7265625" style="382"/>
  </cols>
  <sheetData>
    <row r="1" spans="1:5" ht="20">
      <c r="A1" s="811" t="s">
        <v>87</v>
      </c>
      <c r="B1" s="811"/>
      <c r="C1" s="811"/>
      <c r="D1" s="811"/>
      <c r="E1" s="811"/>
    </row>
    <row r="2" spans="1:5" ht="18.5" customHeight="1">
      <c r="A2" s="812" t="s">
        <v>393</v>
      </c>
      <c r="B2" s="812"/>
      <c r="C2" s="812"/>
      <c r="D2" s="812"/>
      <c r="E2" s="812"/>
    </row>
    <row r="3" spans="1:5" ht="18.5" customHeight="1" thickBot="1">
      <c r="A3" s="619"/>
      <c r="B3" s="619"/>
      <c r="C3" s="619"/>
      <c r="D3" s="619"/>
      <c r="E3" s="619"/>
    </row>
    <row r="4" spans="1:5" ht="30" customHeight="1" thickBot="1">
      <c r="A4" s="619"/>
      <c r="B4" s="808" t="s">
        <v>484</v>
      </c>
      <c r="C4" s="809"/>
      <c r="D4" s="809"/>
      <c r="E4" s="810"/>
    </row>
    <row r="5" spans="1:5">
      <c r="B5" s="620" t="s">
        <v>480</v>
      </c>
      <c r="C5" s="621">
        <f>+'New Year-Full Year'!P97</f>
        <v>75007</v>
      </c>
      <c r="D5" s="802" t="s">
        <v>478</v>
      </c>
      <c r="E5" s="803"/>
    </row>
    <row r="6" spans="1:5" ht="16" thickBot="1">
      <c r="B6" s="623" t="s">
        <v>479</v>
      </c>
      <c r="C6" s="622">
        <f>+'New Year-Full Year'!P101</f>
        <v>14003</v>
      </c>
      <c r="D6" s="800" t="s">
        <v>478</v>
      </c>
      <c r="E6" s="801"/>
    </row>
    <row r="7" spans="1:5" ht="16" thickBot="1">
      <c r="A7" s="414"/>
      <c r="B7" s="410" t="s">
        <v>482</v>
      </c>
      <c r="C7" s="470">
        <f>+'New Year-Full Year'!P125</f>
        <v>18750</v>
      </c>
      <c r="D7" s="804" t="s">
        <v>477</v>
      </c>
      <c r="E7" s="805"/>
    </row>
    <row r="8" spans="1:5" ht="16" thickBot="1">
      <c r="B8" s="410" t="s">
        <v>483</v>
      </c>
      <c r="C8" s="470">
        <f>+'New Year-Full Year'!P135</f>
        <v>8843</v>
      </c>
      <c r="D8" s="804" t="s">
        <v>477</v>
      </c>
      <c r="E8" s="805"/>
    </row>
    <row r="9" spans="1:5" ht="18.5" customHeight="1" thickBot="1">
      <c r="A9" s="619"/>
      <c r="B9" s="619"/>
      <c r="C9" s="619"/>
      <c r="D9" s="619"/>
      <c r="E9" s="619"/>
    </row>
    <row r="10" spans="1:5" ht="30" customHeight="1" thickBot="1">
      <c r="A10" s="390"/>
      <c r="B10" s="408" t="s">
        <v>315</v>
      </c>
      <c r="C10" s="409" t="s">
        <v>317</v>
      </c>
      <c r="D10" s="390"/>
      <c r="E10" s="390"/>
    </row>
    <row r="11" spans="1:5" ht="18.5" customHeight="1">
      <c r="A11" s="390"/>
      <c r="B11" s="404" t="s">
        <v>481</v>
      </c>
      <c r="C11" s="405">
        <f>+'New Year-Full Year'!F136</f>
        <v>10</v>
      </c>
      <c r="D11" s="390"/>
      <c r="E11" s="390"/>
    </row>
    <row r="12" spans="1:5" ht="18.5" customHeight="1">
      <c r="A12" s="390"/>
      <c r="B12" s="404" t="s">
        <v>471</v>
      </c>
      <c r="C12" s="405">
        <f>+'New Year-Full Year'!F153</f>
        <v>17.34</v>
      </c>
      <c r="D12" s="390"/>
      <c r="E12" s="390"/>
    </row>
    <row r="13" spans="1:5" ht="18.5" customHeight="1">
      <c r="A13" s="390"/>
      <c r="B13" s="404" t="s">
        <v>472</v>
      </c>
      <c r="C13" s="405">
        <f>+'New Year-Full Year'!F155</f>
        <v>13.64</v>
      </c>
      <c r="D13" s="390"/>
      <c r="E13" s="390"/>
    </row>
    <row r="14" spans="1:5" ht="18.5" customHeight="1">
      <c r="A14" s="390"/>
      <c r="B14" s="404" t="s">
        <v>473</v>
      </c>
      <c r="C14" s="405">
        <f>+'New Year-Full Year'!F156</f>
        <v>11.57</v>
      </c>
      <c r="D14" s="390"/>
      <c r="E14" s="390"/>
    </row>
    <row r="15" spans="1:5" ht="18.5" customHeight="1">
      <c r="A15" s="390"/>
      <c r="B15" s="404" t="s">
        <v>474</v>
      </c>
      <c r="C15" s="405">
        <f>+'New Year-Full Year'!F157</f>
        <v>11.22</v>
      </c>
      <c r="D15" s="390"/>
      <c r="E15" s="390"/>
    </row>
    <row r="16" spans="1:5" ht="18.5" customHeight="1" thickBot="1">
      <c r="A16" s="390"/>
      <c r="B16" s="406" t="s">
        <v>475</v>
      </c>
      <c r="C16" s="407">
        <f>+'New Year-Full Year'!F161</f>
        <v>14.57</v>
      </c>
      <c r="D16" s="390"/>
      <c r="E16" s="390"/>
    </row>
    <row r="17" spans="1:7" ht="8" customHeight="1">
      <c r="A17" s="390"/>
      <c r="B17" s="390"/>
      <c r="C17" s="390"/>
      <c r="D17" s="390"/>
      <c r="E17" s="390"/>
    </row>
    <row r="18" spans="1:7" ht="18.5" customHeight="1" thickBot="1">
      <c r="A18" s="390"/>
      <c r="B18" s="381" t="s">
        <v>314</v>
      </c>
      <c r="C18" s="390"/>
      <c r="D18" s="390"/>
      <c r="E18" s="390"/>
    </row>
    <row r="19" spans="1:7" ht="16" thickBot="1">
      <c r="A19" s="383"/>
      <c r="B19" s="395" t="s">
        <v>319</v>
      </c>
      <c r="C19" s="411"/>
      <c r="D19" s="806" t="s">
        <v>318</v>
      </c>
      <c r="E19" s="807"/>
    </row>
    <row r="20" spans="1:7" ht="67" customHeight="1" thickBot="1">
      <c r="B20" s="410" t="s">
        <v>245</v>
      </c>
      <c r="C20" s="470">
        <f>+'Band and Other Music'!D13</f>
        <v>3060</v>
      </c>
      <c r="D20" s="804" t="s">
        <v>316</v>
      </c>
      <c r="E20" s="805"/>
    </row>
    <row r="21" spans="1:7" ht="33" customHeight="1" thickBot="1">
      <c r="B21" s="410" t="s">
        <v>109</v>
      </c>
      <c r="C21" s="470">
        <f>+'New Year-Full Year'!P140</f>
        <v>16236</v>
      </c>
      <c r="D21" s="804" t="s">
        <v>208</v>
      </c>
      <c r="E21" s="805"/>
    </row>
    <row r="22" spans="1:7" ht="33" customHeight="1" thickBot="1">
      <c r="B22" s="410" t="s">
        <v>476</v>
      </c>
      <c r="C22" s="470">
        <f>+'New Year-Full Year'!P146</f>
        <v>7634</v>
      </c>
      <c r="D22" s="804" t="s">
        <v>208</v>
      </c>
      <c r="E22" s="805"/>
    </row>
    <row r="23" spans="1:7" ht="16" thickBot="1">
      <c r="A23" s="391"/>
      <c r="B23" s="384"/>
      <c r="C23" s="412"/>
      <c r="D23" s="384"/>
    </row>
    <row r="24" spans="1:7" ht="16" thickBot="1">
      <c r="A24" s="385"/>
      <c r="B24" s="395" t="s">
        <v>276</v>
      </c>
      <c r="C24" s="411"/>
      <c r="D24" s="396"/>
      <c r="E24" s="397"/>
    </row>
    <row r="25" spans="1:7">
      <c r="A25" s="795"/>
      <c r="B25" s="392" t="s">
        <v>320</v>
      </c>
      <c r="C25" s="471">
        <f>+'Band and Other Music'!D24</f>
        <v>6</v>
      </c>
      <c r="D25" s="796" t="s">
        <v>394</v>
      </c>
      <c r="E25" s="797"/>
    </row>
    <row r="26" spans="1:7">
      <c r="A26" s="795"/>
      <c r="B26" s="392" t="s">
        <v>390</v>
      </c>
      <c r="C26" s="471">
        <f>+'Band and Other Music'!D25</f>
        <v>3</v>
      </c>
      <c r="D26" s="796"/>
      <c r="E26" s="797"/>
    </row>
    <row r="27" spans="1:7">
      <c r="A27" s="795"/>
      <c r="B27" s="392" t="s">
        <v>272</v>
      </c>
      <c r="C27" s="472">
        <f>+'Band and Other Music'!D26</f>
        <v>25</v>
      </c>
      <c r="D27" s="796"/>
      <c r="E27" s="797"/>
      <c r="G27" s="386"/>
    </row>
    <row r="28" spans="1:7" ht="16" thickBot="1">
      <c r="A28" s="795"/>
      <c r="B28" s="393" t="s">
        <v>395</v>
      </c>
      <c r="C28" s="473">
        <f>+'Band and Other Music'!D27</f>
        <v>30</v>
      </c>
      <c r="D28" s="798"/>
      <c r="E28" s="799"/>
    </row>
    <row r="29" spans="1:7" ht="16" thickBot="1">
      <c r="A29" s="385"/>
    </row>
    <row r="30" spans="1:7" ht="16" thickBot="1">
      <c r="A30" s="385"/>
      <c r="B30" s="395" t="s">
        <v>277</v>
      </c>
      <c r="C30" s="411"/>
      <c r="D30" s="396"/>
      <c r="E30" s="397"/>
    </row>
    <row r="31" spans="1:7">
      <c r="A31" s="795"/>
      <c r="B31" s="392" t="s">
        <v>321</v>
      </c>
      <c r="C31" s="471">
        <f>+'Band and Other Music'!D40</f>
        <v>1</v>
      </c>
      <c r="D31" s="796" t="s">
        <v>313</v>
      </c>
      <c r="E31" s="797"/>
    </row>
    <row r="32" spans="1:7" ht="16" thickBot="1">
      <c r="A32" s="795"/>
      <c r="B32" s="393" t="s">
        <v>291</v>
      </c>
      <c r="C32" s="473">
        <f>+'Band and Other Music'!D41</f>
        <v>25</v>
      </c>
      <c r="D32" s="798"/>
      <c r="E32" s="799"/>
    </row>
    <row r="33" spans="1:5" ht="16" thickBot="1">
      <c r="A33" s="385"/>
    </row>
    <row r="34" spans="1:5" ht="16" thickBot="1">
      <c r="A34" s="385"/>
      <c r="B34" s="395" t="s">
        <v>308</v>
      </c>
      <c r="C34" s="411"/>
      <c r="D34" s="396"/>
      <c r="E34" s="397"/>
    </row>
    <row r="35" spans="1:5">
      <c r="A35" s="795"/>
      <c r="B35" s="392" t="s">
        <v>322</v>
      </c>
      <c r="C35" s="471">
        <f>+'Band and Other Music'!D47</f>
        <v>3</v>
      </c>
      <c r="D35" s="385" t="s">
        <v>295</v>
      </c>
      <c r="E35" s="398"/>
    </row>
    <row r="36" spans="1:5" ht="16" thickBot="1">
      <c r="A36" s="795"/>
      <c r="B36" s="400" t="s">
        <v>296</v>
      </c>
      <c r="C36" s="474">
        <f>+'Band and Other Music'!D48</f>
        <v>50</v>
      </c>
      <c r="D36" s="387"/>
      <c r="E36" s="401"/>
    </row>
    <row r="37" spans="1:5" ht="15" customHeight="1">
      <c r="A37" s="795"/>
      <c r="B37" s="402" t="s">
        <v>323</v>
      </c>
      <c r="C37" s="475">
        <f>+'Band and Other Music'!D50</f>
        <v>2</v>
      </c>
      <c r="D37" s="388" t="s">
        <v>295</v>
      </c>
      <c r="E37" s="403"/>
    </row>
    <row r="38" spans="1:5" ht="15" customHeight="1" thickBot="1">
      <c r="A38" s="795"/>
      <c r="B38" s="393" t="s">
        <v>301</v>
      </c>
      <c r="C38" s="473">
        <f>+'Band and Other Music'!D51</f>
        <v>25</v>
      </c>
      <c r="D38" s="394"/>
      <c r="E38" s="399"/>
    </row>
    <row r="39" spans="1:5" ht="16" thickBot="1">
      <c r="A39" s="389"/>
      <c r="B39" s="385"/>
      <c r="C39" s="413"/>
      <c r="D39" s="385"/>
      <c r="E39" s="385"/>
    </row>
    <row r="40" spans="1:5" ht="16" thickBot="1">
      <c r="A40" s="385"/>
      <c r="B40" s="395" t="s">
        <v>247</v>
      </c>
      <c r="C40" s="411"/>
      <c r="D40" s="396"/>
      <c r="E40" s="397"/>
    </row>
    <row r="41" spans="1:5">
      <c r="A41" s="795"/>
      <c r="B41" s="392" t="s">
        <v>324</v>
      </c>
      <c r="C41" s="471">
        <f>+'Band and Other Music'!D58</f>
        <v>1</v>
      </c>
      <c r="D41" s="385"/>
      <c r="E41" s="398"/>
    </row>
    <row r="42" spans="1:5" ht="16" thickBot="1">
      <c r="A42" s="795"/>
      <c r="B42" s="393" t="s">
        <v>296</v>
      </c>
      <c r="C42" s="473">
        <f>+'Band and Other Music'!D59</f>
        <v>25</v>
      </c>
      <c r="D42" s="394"/>
      <c r="E42" s="399"/>
    </row>
    <row r="43" spans="1:5">
      <c r="A43" s="385"/>
      <c r="C43" s="415"/>
    </row>
    <row r="44" spans="1:5">
      <c r="A44" s="385"/>
    </row>
    <row r="45" spans="1:5">
      <c r="A45" s="385"/>
    </row>
    <row r="46" spans="1:5">
      <c r="A46" s="385"/>
    </row>
    <row r="47" spans="1:5">
      <c r="A47" s="385"/>
    </row>
    <row r="48" spans="1:5">
      <c r="A48" s="385"/>
    </row>
    <row r="49" spans="1:1">
      <c r="A49" s="385"/>
    </row>
    <row r="50" spans="1:1">
      <c r="A50" s="385"/>
    </row>
    <row r="51" spans="1:1">
      <c r="A51" s="385"/>
    </row>
    <row r="52" spans="1:1">
      <c r="A52" s="385"/>
    </row>
    <row r="53" spans="1:1">
      <c r="A53" s="385"/>
    </row>
    <row r="54" spans="1:1">
      <c r="A54" s="385"/>
    </row>
    <row r="55" spans="1:1">
      <c r="A55" s="385"/>
    </row>
    <row r="56" spans="1:1">
      <c r="A56" s="385"/>
    </row>
    <row r="57" spans="1:1">
      <c r="A57" s="385"/>
    </row>
    <row r="58" spans="1:1">
      <c r="A58" s="385"/>
    </row>
    <row r="59" spans="1:1">
      <c r="A59" s="385"/>
    </row>
  </sheetData>
  <mergeCells count="18">
    <mergeCell ref="B4:E4"/>
    <mergeCell ref="A1:E1"/>
    <mergeCell ref="A2:E2"/>
    <mergeCell ref="A41:A42"/>
    <mergeCell ref="D25:E28"/>
    <mergeCell ref="D31:E32"/>
    <mergeCell ref="D6:E6"/>
    <mergeCell ref="D5:E5"/>
    <mergeCell ref="A37:A38"/>
    <mergeCell ref="D21:E21"/>
    <mergeCell ref="D22:E22"/>
    <mergeCell ref="D20:E20"/>
    <mergeCell ref="A25:A28"/>
    <mergeCell ref="D8:E8"/>
    <mergeCell ref="D7:E7"/>
    <mergeCell ref="D19:E19"/>
    <mergeCell ref="A31:A32"/>
    <mergeCell ref="A35:A36"/>
  </mergeCells>
  <printOptions horizontalCentered="1"/>
  <pageMargins left="0.2" right="0.2" top="0.25" bottom="0.25" header="0.3" footer="0.3"/>
  <pageSetup scale="8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10</vt:i4>
      </vt:variant>
      <vt:variant>
        <vt:lpstr>Charts</vt:lpstr>
      </vt:variant>
      <vt:variant>
        <vt:i4>1</vt:i4>
      </vt:variant>
      <vt:variant>
        <vt:lpstr>Named Ranges</vt:lpstr>
      </vt:variant>
      <vt:variant>
        <vt:i4>4</vt:i4>
      </vt:variant>
    </vt:vector>
  </HeadingPairs>
  <TitlesOfParts>
    <vt:vector size="15" baseType="lpstr">
      <vt:lpstr>Top Sheet</vt:lpstr>
      <vt:lpstr>Summary New Year</vt:lpstr>
      <vt:lpstr>New Year-Full Year</vt:lpstr>
      <vt:lpstr>Benevolence</vt:lpstr>
      <vt:lpstr>Pastor</vt:lpstr>
      <vt:lpstr>Comparison</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2020-09-29T23:19:46Z</cp:lastPrinted>
  <dcterms:created xsi:type="dcterms:W3CDTF">2011-12-01T18:07:46Z</dcterms:created>
  <dcterms:modified xsi:type="dcterms:W3CDTF">2020-10-15T23:33:25Z</dcterms:modified>
</cp:coreProperties>
</file>